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50" windowHeight="6075" activeTab="0"/>
  </bookViews>
  <sheets>
    <sheet name="Overall budget" sheetId="1" r:id="rId1"/>
    <sheet name="UNICEF" sheetId="2" r:id="rId2"/>
    <sheet name="ILO" sheetId="3" r:id="rId3"/>
  </sheets>
  <definedNames>
    <definedName name="_xlnm.Print_Area" localSheetId="0">'Overall budget'!$A$1:$AB$154</definedName>
  </definedNames>
  <calcPr fullCalcOnLoad="1"/>
</workbook>
</file>

<file path=xl/comments1.xml><?xml version="1.0" encoding="utf-8"?>
<comments xmlns="http://schemas.openxmlformats.org/spreadsheetml/2006/main">
  <authors>
    <author>predrag.perunovic</author>
  </authors>
  <commentList>
    <comment ref="B5" authorId="0">
      <text>
        <r>
          <rPr>
            <b/>
            <sz val="8"/>
            <rFont val="Tahoma"/>
            <family val="2"/>
          </rPr>
          <t>predrag.perunovic:</t>
        </r>
        <r>
          <rPr>
            <sz val="8"/>
            <rFont val="Tahoma"/>
            <family val="2"/>
          </rPr>
          <t xml:space="preserve">
Annualy</t>
        </r>
      </text>
    </comment>
    <comment ref="B13" authorId="0">
      <text>
        <r>
          <rPr>
            <b/>
            <sz val="8"/>
            <rFont val="Tahoma"/>
            <family val="2"/>
          </rPr>
          <t>predrag.perunovic:</t>
        </r>
        <r>
          <rPr>
            <sz val="8"/>
            <rFont val="Tahoma"/>
            <family val="2"/>
          </rPr>
          <t xml:space="preserve">
Annual costs
</t>
        </r>
      </text>
    </comment>
    <comment ref="A16" authorId="0">
      <text>
        <r>
          <rPr>
            <b/>
            <sz val="8"/>
            <rFont val="Tahoma"/>
            <family val="2"/>
          </rPr>
          <t>predrag.perunovic:</t>
        </r>
        <r>
          <rPr>
            <sz val="8"/>
            <rFont val="Tahoma"/>
            <family val="2"/>
          </rPr>
          <t xml:space="preserve">
Octavia A5, 2xYugo's
</t>
        </r>
      </text>
    </comment>
    <comment ref="A17" authorId="0">
      <text>
        <r>
          <rPr>
            <b/>
            <sz val="8"/>
            <rFont val="Tahoma"/>
            <family val="2"/>
          </rPr>
          <t>predrag.perunovic:</t>
        </r>
        <r>
          <rPr>
            <sz val="8"/>
            <rFont val="Tahoma"/>
            <family val="2"/>
          </rPr>
          <t xml:space="preserve">
Octavia A5, 2xYugo's
</t>
        </r>
      </text>
    </comment>
  </commentList>
</comments>
</file>

<file path=xl/sharedStrings.xml><?xml version="1.0" encoding="utf-8"?>
<sst xmlns="http://schemas.openxmlformats.org/spreadsheetml/2006/main" count="629" uniqueCount="214">
  <si>
    <t>Unit Cost</t>
  </si>
  <si>
    <t>Total costs</t>
  </si>
  <si>
    <t>lump sum</t>
  </si>
  <si>
    <t>1US$ =</t>
  </si>
  <si>
    <t>Total costs in US$</t>
  </si>
  <si>
    <t>SIDA contribution</t>
  </si>
  <si>
    <t>Norway contribution</t>
  </si>
  <si>
    <t>BCPR contribution</t>
  </si>
  <si>
    <t>Swiss contribution</t>
  </si>
  <si>
    <t>Original currency</t>
  </si>
  <si>
    <t>Contributors</t>
  </si>
  <si>
    <t>US$</t>
  </si>
  <si>
    <t>Currency rates per 1$</t>
  </si>
  <si>
    <t>1.1 International Staff</t>
  </si>
  <si>
    <r>
      <t xml:space="preserve">1. Programme Management </t>
    </r>
    <r>
      <rPr>
        <b/>
        <sz val="11"/>
        <color indexed="10"/>
        <rFont val="Arial"/>
        <family val="2"/>
      </rPr>
      <t>Acitivity 1</t>
    </r>
  </si>
  <si>
    <t>Activity</t>
  </si>
  <si>
    <t>Unit number (months, years, lumpsum)</t>
  </si>
  <si>
    <t>Sub Total</t>
  </si>
  <si>
    <t>Activity1 F/A rate 7%</t>
  </si>
  <si>
    <t>Total Activity1:</t>
  </si>
  <si>
    <t>INDICATIVE BUDGET</t>
  </si>
  <si>
    <t>2.1 Confidence increasment in local institutions</t>
  </si>
  <si>
    <t>2.1.1 Support to Coordination Body</t>
  </si>
  <si>
    <t>2.1.2 Grants for partnership development between municipalities &amp; civil society organizations</t>
  </si>
  <si>
    <t xml:space="preserve">2.2 Strenghthening of inter-ethnic colaboration </t>
  </si>
  <si>
    <t>Activity2 F/A rate 7%</t>
  </si>
  <si>
    <t>Total Activity2:</t>
  </si>
  <si>
    <r>
      <t xml:space="preserve">3. Improved and more equitable access to public services and welfare benefits - </t>
    </r>
    <r>
      <rPr>
        <b/>
        <sz val="11"/>
        <color indexed="10"/>
        <rFont val="Arial"/>
        <family val="2"/>
      </rPr>
      <t>Activity 3</t>
    </r>
  </si>
  <si>
    <t>3.1 Municipalities have strengthened ability to formulate, implement and monitor policies in relation to public service provision</t>
  </si>
  <si>
    <t xml:space="preserve">3.1.1 Support the creation of regional working groups for specialist technical staff  </t>
  </si>
  <si>
    <t>3.1.2 Support the monitoring of municipal strategy implementation</t>
  </si>
  <si>
    <t>3.1.3 Develop a standard DevInfo database at local level</t>
  </si>
  <si>
    <t>3.2 Vulnerable and ethnic minority children have improved access to public services and benefit entitlements</t>
  </si>
  <si>
    <t>3.3 Improved quality of public services, especially in those areas that have potential to increase inter-ethnic dialogue and reduce conflict risk (UNICEF)</t>
  </si>
  <si>
    <t>3.3.1 Provide teachers with in-service training in skills which promote inclusive and child-centred education</t>
  </si>
  <si>
    <t>3.3.2 Improvement in access and quality of Serbian language learning opportunities for children for whom it is not their mother tongue</t>
  </si>
  <si>
    <r>
      <t xml:space="preserve">4. Increased overall economic prosperity of region, reduced discrepancies in wealth between municipalities and ethnic groups - </t>
    </r>
    <r>
      <rPr>
        <b/>
        <sz val="11"/>
        <color indexed="10"/>
        <rFont val="Arial"/>
        <family val="2"/>
      </rPr>
      <t>Activity 4</t>
    </r>
  </si>
  <si>
    <t xml:space="preserve">4.1 Reduced discrepancies in unemployment between municipalities in the region by
increased outreach and effectiveness of employment services and labour market programmes targeting disadvantaged and disaffected groups
</t>
  </si>
  <si>
    <t>4.2 Increased funding for regional and municipal level infrastructure projects that will impact upon job creation</t>
  </si>
  <si>
    <t>Total Activity3:</t>
  </si>
  <si>
    <t>Total Without GMS</t>
  </si>
  <si>
    <t>General Management Services (GMS) 7%</t>
  </si>
  <si>
    <t>Overall Total Budget</t>
  </si>
  <si>
    <t xml:space="preserve">                                                                                                                        Total</t>
  </si>
  <si>
    <t>Activity3 F/A rate 7%</t>
  </si>
  <si>
    <t>Activity4 F/A rate 7%</t>
  </si>
  <si>
    <t>Activity5 F/A rate 7%</t>
  </si>
  <si>
    <t>Total Activity5:</t>
  </si>
  <si>
    <t>Pass Through Overhead Charge 1%</t>
  </si>
  <si>
    <t>4.1.1 Employers survey</t>
  </si>
  <si>
    <t>BCPR Contribution</t>
  </si>
  <si>
    <t>ILO</t>
  </si>
  <si>
    <t>UNICEF</t>
  </si>
  <si>
    <t xml:space="preserve">Item </t>
  </si>
  <si>
    <t xml:space="preserve">Unit cost </t>
  </si>
  <si>
    <t>No. of Units</t>
  </si>
  <si>
    <t>Total Costs     in USD</t>
  </si>
  <si>
    <t>Local IP- Birth registration</t>
  </si>
  <si>
    <t>DevInfo</t>
  </si>
  <si>
    <t>Printing (communication material, manual)</t>
  </si>
  <si>
    <t>Subtotal</t>
  </si>
  <si>
    <t>Agency Management Support</t>
  </si>
  <si>
    <t>Total</t>
  </si>
  <si>
    <t>Training of teachers</t>
  </si>
  <si>
    <t>Teaching and learning of Serbian languages</t>
  </si>
  <si>
    <t>Recovery Costs - 7%</t>
  </si>
  <si>
    <t>2.2.1 Support to establishment and capacity building of Youth Offices</t>
  </si>
  <si>
    <t>Difference (Contributions - Budget)</t>
  </si>
  <si>
    <r>
      <t xml:space="preserve">2. Reduction of tensions and risks - </t>
    </r>
    <r>
      <rPr>
        <b/>
        <sz val="11"/>
        <color indexed="10"/>
        <rFont val="Arial"/>
        <family val="2"/>
      </rPr>
      <t>Activity 2</t>
    </r>
  </si>
  <si>
    <t>Vehicle</t>
  </si>
  <si>
    <r>
      <t xml:space="preserve">5. Migration Management - </t>
    </r>
    <r>
      <rPr>
        <b/>
        <sz val="11"/>
        <color indexed="10"/>
        <rFont val="Arial"/>
        <family val="2"/>
      </rPr>
      <t>Activity 5</t>
    </r>
  </si>
  <si>
    <t>5.1 Municipal Administrative Services Better Meet the Needs of Migrants</t>
  </si>
  <si>
    <t>5.1.1 Pilot test independent Citizens Advice Bureaux</t>
  </si>
  <si>
    <t>5.1.2 Improve Outreach Services of CSWs</t>
  </si>
  <si>
    <t>5.1.3 Improve CAC Services</t>
  </si>
  <si>
    <t>5.2 Capacity Development to Manage Migration Issues</t>
  </si>
  <si>
    <t>5.2.1 Analyze and Review Existing Data</t>
  </si>
  <si>
    <t>5.2.2 Provide Research Grants</t>
  </si>
  <si>
    <t>5.2.3 Conference/Seminar</t>
  </si>
  <si>
    <t>5.2.4 Participation in National Level Activities</t>
  </si>
  <si>
    <t>5.3 Migration Support Costs</t>
  </si>
  <si>
    <t>2.2.3 Strengthen formal and informal youth groups</t>
  </si>
  <si>
    <t>5.1.4 Review Existing Strategies</t>
  </si>
  <si>
    <t>1.2 Admin Support Staff</t>
  </si>
  <si>
    <t>1.2.2 Security costs</t>
  </si>
  <si>
    <t>1.2.3 Cleaning costs</t>
  </si>
  <si>
    <t>1.2.4 On-call driving</t>
  </si>
  <si>
    <t>1.3 Staff Travel</t>
  </si>
  <si>
    <t>1.3.1 Travel costs</t>
  </si>
  <si>
    <t>1.4 Administrative Costs</t>
  </si>
  <si>
    <t>1.4.2 Vehicle management (fuel, insurance, registration, services…)</t>
  </si>
  <si>
    <t>1.4.3 Office rent</t>
  </si>
  <si>
    <t>1.4.4 Computer &amp; telecommunication equipment</t>
  </si>
  <si>
    <t>1.4.5 Utility costs</t>
  </si>
  <si>
    <t>1.4.6 Visibility</t>
  </si>
  <si>
    <t>1.4.7 Monitoring &amp; Evaluation</t>
  </si>
  <si>
    <t>June'09</t>
  </si>
  <si>
    <t>2.2.2 Long term consultancy</t>
  </si>
  <si>
    <t>3.3.3 Technical Support</t>
  </si>
  <si>
    <t>Technical Support</t>
  </si>
  <si>
    <t>3.3.5  Printing (communication material, manual)</t>
  </si>
  <si>
    <t>3.3.4 Programme Coordinator</t>
  </si>
  <si>
    <t>2.1.3 Long term consultancy</t>
  </si>
  <si>
    <t>3.1.4 Long term consultancy</t>
  </si>
  <si>
    <t>3.2.1 Registration of children and assistance in obtaining other personal documents</t>
  </si>
  <si>
    <t>3.2.2 Inclusion of socially excluded children into the health care system</t>
  </si>
  <si>
    <t>3.2.3 Monitoring of children’s access to rights to health care</t>
  </si>
  <si>
    <t>3.2.4 Long term consultancy</t>
  </si>
  <si>
    <t>3.4 Support to capacity development and awareness raising of the role of of Ombudspersons Outreach Office in South Serbia</t>
  </si>
  <si>
    <t>3.4.1 Awareness Campaign</t>
  </si>
  <si>
    <t>3.4.2 Capacity Development of Staff</t>
  </si>
  <si>
    <t>3.4.3 Establishment of enabling framework for municipal ombudsman offices</t>
  </si>
  <si>
    <t>4.1.2 Development of training plans for enterprises</t>
  </si>
  <si>
    <t>4.1.3 Capacity building for NES staff</t>
  </si>
  <si>
    <t>4.1.4 Development of Training of packages and other training material</t>
  </si>
  <si>
    <t>4.1.5 Capacity building for adult training methodology</t>
  </si>
  <si>
    <t>4.1.6 Train the trainers workshop</t>
  </si>
  <si>
    <t>4.1.7 Training curriculum development teams</t>
  </si>
  <si>
    <t>4.1.8 Capacity building career information and guidance</t>
  </si>
  <si>
    <t>4.1.9 Employment promotion programmes for disadvantaged groups</t>
  </si>
  <si>
    <t>4.1.10 Competency-based training programmes</t>
  </si>
  <si>
    <t>4.1.11 International Training Expert</t>
  </si>
  <si>
    <t>4.1.12 International Employment Service Expert</t>
  </si>
  <si>
    <t>4.1.13 International Employment Programme Expert</t>
  </si>
  <si>
    <t>4.1.14 Local Consultants (working days)</t>
  </si>
  <si>
    <t>4.1.15 ILO Missions Experts</t>
  </si>
  <si>
    <t>4.1.16 National Employment Expert</t>
  </si>
  <si>
    <t>4.1.17 Training Assistant Part Time</t>
  </si>
  <si>
    <t>5.3.1  Long term consultancy</t>
  </si>
  <si>
    <t>1.2.1 Finance Assistant (SC3)</t>
  </si>
  <si>
    <t>1.2.5 Communication/Visibility costs - PR Assistant (SC3)</t>
  </si>
  <si>
    <t>Proposed contribution July'09</t>
  </si>
  <si>
    <t>1.1.1 Programme Manager P3 lvl 4</t>
  </si>
  <si>
    <t>2.2.4 Printing (communication material, manual)</t>
  </si>
  <si>
    <t>UNICEF BUDGET</t>
  </si>
  <si>
    <t>44,492 Eura, NOB, Step 1, with health  insurance, without dependents</t>
  </si>
  <si>
    <t>PIU</t>
  </si>
  <si>
    <t>Outcome 1</t>
  </si>
  <si>
    <t>Outcome 2</t>
  </si>
  <si>
    <t>Outcome 3</t>
  </si>
  <si>
    <t>Migration</t>
  </si>
  <si>
    <t>Outcome</t>
  </si>
  <si>
    <t>Support to establishment and capacity building of Youth Offices and Youth Centers</t>
  </si>
  <si>
    <t>All/focus on 3</t>
  </si>
  <si>
    <t>Strengthen formal and informal youth groups/programmes</t>
  </si>
  <si>
    <t>Long Term Consultancy</t>
  </si>
  <si>
    <t>NOC</t>
  </si>
  <si>
    <t>3 municipalites</t>
  </si>
  <si>
    <t>IT equipment for DevInfo</t>
  </si>
  <si>
    <t>9 municipalities</t>
  </si>
  <si>
    <t>Inclusion of socially excluded children into the health care system</t>
  </si>
  <si>
    <t>5 municipalities</t>
  </si>
  <si>
    <t>Monitoring of children's access to rights to health care</t>
  </si>
  <si>
    <t>10 mun., 5 for migr.</t>
  </si>
  <si>
    <t xml:space="preserve">Long Term Consultancy </t>
  </si>
  <si>
    <t xml:space="preserve">Programme Coordinator </t>
  </si>
  <si>
    <t xml:space="preserve">Transport </t>
  </si>
  <si>
    <t>PMU</t>
  </si>
  <si>
    <t xml:space="preserve">Staff travel </t>
  </si>
  <si>
    <t>ILO BUDGET ALLOCATION</t>
  </si>
  <si>
    <t>4.2.1 Capacity development support to Regional Development Agency</t>
  </si>
  <si>
    <t>4.2.2 Support RDA to carry out preparatory work for key regional projects</t>
  </si>
  <si>
    <t>4.2.3 Implementation of key regional projects</t>
  </si>
  <si>
    <t xml:space="preserve">4.2.4 Advocacy and Policy Initiatives </t>
  </si>
  <si>
    <t>Year 1</t>
  </si>
  <si>
    <t>Year 2</t>
  </si>
  <si>
    <t>Year 3</t>
  </si>
  <si>
    <t>Implementing agency</t>
  </si>
  <si>
    <t>BCPR</t>
  </si>
  <si>
    <t>NOR</t>
  </si>
  <si>
    <t>SIDA</t>
  </si>
  <si>
    <t>Total per bd line</t>
  </si>
  <si>
    <t>Donor</t>
  </si>
  <si>
    <t>BCPR, SDC, SIDA</t>
  </si>
  <si>
    <t>kompanija?</t>
  </si>
  <si>
    <t>SSA?</t>
  </si>
  <si>
    <t>SDC</t>
  </si>
  <si>
    <t>Account</t>
  </si>
  <si>
    <t>72100, 72600, 71300</t>
  </si>
  <si>
    <t>72100, 71300</t>
  </si>
  <si>
    <t>72100, 72800</t>
  </si>
  <si>
    <t>71300, 72100</t>
  </si>
  <si>
    <t>72100, 72600</t>
  </si>
  <si>
    <t>SIDA for PMU Act11 (bd-3)</t>
  </si>
  <si>
    <t>Norway-ecc prosper (bd-4)</t>
  </si>
  <si>
    <t>SDC-migration (bd-5)</t>
  </si>
  <si>
    <t>PMU (BCPR, SDC, SIDA)</t>
  </si>
  <si>
    <t>UNDP</t>
  </si>
  <si>
    <t>act2</t>
  </si>
  <si>
    <t>act2, NOR</t>
  </si>
  <si>
    <t>BCPR (bd-act2+NOR)</t>
  </si>
  <si>
    <t>act4+part act2</t>
  </si>
  <si>
    <t>part PIU+part act2</t>
  </si>
  <si>
    <t>act3+part PIU</t>
  </si>
  <si>
    <t>act5+part PIU</t>
  </si>
  <si>
    <t>act3</t>
  </si>
  <si>
    <t>act4</t>
  </si>
  <si>
    <t>act5</t>
  </si>
  <si>
    <t>Donor Totals</t>
  </si>
  <si>
    <t>Difference</t>
  </si>
  <si>
    <t>1% Agency fee/pass</t>
  </si>
  <si>
    <t>pass through</t>
  </si>
  <si>
    <t>??? How to charge</t>
  </si>
  <si>
    <t>1% to 58601 kao GMS ali 100%</t>
  </si>
  <si>
    <t>Total Activity4:</t>
  </si>
  <si>
    <t>1.4.1 Purchase of 3 vehicles</t>
  </si>
  <si>
    <t>1.4.1 Purchase of 1 vehicle</t>
  </si>
  <si>
    <t>BCPR, NOR</t>
  </si>
  <si>
    <t>Act1</t>
  </si>
  <si>
    <t>Act2</t>
  </si>
  <si>
    <t>Act3</t>
  </si>
  <si>
    <t>Act4</t>
  </si>
  <si>
    <t>Act5</t>
  </si>
  <si>
    <t>Act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</si>
</sst>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[$€-2]\ * #,##0.00_);_([$€-2]\ * \(#,##0.00\);_([$€-2]\ * &quot;-&quot;??_);_(@_)"/>
    <numFmt numFmtId="173" formatCode="#,##0.000"/>
    <numFmt numFmtId="174" formatCode="_([$NOK]\ * #,##0.00_);_([$NOK]\ * \(#,##0.00\);_([$NOK]\ * &quot;-&quot;??_);_(@_)"/>
    <numFmt numFmtId="175" formatCode="_([$SEK]\ * #,##0.00_);_([$SEK]\ * \(#,##0.00\);_([$SEK]\ 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[$€-2]\ * #,##0.000_);_([$€-2]\ * \(#,##0.000\);_([$€-2]\ * &quot;-&quot;??_);_(@_)"/>
    <numFmt numFmtId="181" formatCode="[$SFr.-100C]\ #,##0.00"/>
    <numFmt numFmtId="182" formatCode="[$-409]dddd\,\ mmmm\ dd\,\ yyyy"/>
    <numFmt numFmtId="183" formatCode="_ [$SFr.-100C]\ * #,##0.00_ ;_ [$SFr.-100C]\ * \-#,##0.00_ ;_ [$SFr.-100C]\ * &quot;-&quot;??_ ;_ @_ "/>
    <numFmt numFmtId="184" formatCode="&quot;$&quot;#,##0.00"/>
    <numFmt numFmtId="185" formatCode="_([$NOK]\ * #,##0.000_);_([$NOK]\ * \(#,##0.000\);_([$NOK]\ * &quot;-&quot;??_);_(@_)"/>
    <numFmt numFmtId="186" formatCode="_([$NOK]\ * #,##0.0000_);_([$NOK]\ * \(#,##0.0000\);_([$NOK]\ * &quot;-&quot;??_);_(@_)"/>
    <numFmt numFmtId="187" formatCode="#,##0.0"/>
    <numFmt numFmtId="188" formatCode="_([$SEK]\ * #,##0.0_);_([$SEK]\ * \(#,##0.0\);_([$SEK]\ * &quot;-&quot;??_);_(@_)"/>
    <numFmt numFmtId="189" formatCode="_([$SEK]\ * #,##0.000_);_([$SEK]\ * \(#,##0.000\);_([$SEK]\ * &quot;-&quot;??_);_(@_)"/>
    <numFmt numFmtId="190" formatCode="_(&quot;$&quot;* #,##0.000_);_(&quot;$&quot;* \(#,##0.000\);_(&quot;$&quot;* &quot;-&quot;??_);_(@_)"/>
    <numFmt numFmtId="191" formatCode="_ [$SFr.-100C]\ * #,##0.000_ ;_ [$SFr.-100C]\ * \-#,##0.000_ ;_ [$SFr.-100C]\ * &quot;-&quot;??_ ;_ @_ "/>
    <numFmt numFmtId="192" formatCode="_(* #,##0.000_);_(* \(#,##0.000\);_(* &quot;-&quot;??_);_(@_)"/>
    <numFmt numFmtId="193" formatCode="_-* #,##0_-;\-* #,##0_-;_-* &quot;-&quot;??_-;_-@_-"/>
    <numFmt numFmtId="194" formatCode="_(* #,##0.0000_);_(* \(#,##0.0000\);_(* &quot;-&quot;??_);_(@_)"/>
    <numFmt numFmtId="195" formatCode="_(* #,##0.00000_);_(* \(#,##0.00000\);_(* &quot;-&quot;??_);_(@_)"/>
    <numFmt numFmtId="196" formatCode="_(* #,##0.0_);_(* \(#,##0.0\);_(* &quot;-&quot;??_);_(@_)"/>
    <numFmt numFmtId="197" formatCode="_(* #,##0_);_(* \(#,##0\);_(* &quot;-&quot;??_);_(@_)"/>
    <numFmt numFmtId="198" formatCode="_(&quot;$&quot;* #,##0.000_);_(&quot;$&quot;* \(#,##0.000\);_(&quot;$&quot;* &quot;-&quot;???_);_(@_)"/>
    <numFmt numFmtId="199" formatCode="_(&quot;$&quot;* #,##0.0000_);_(&quot;$&quot;* \(#,##0.0000\);_(&quot;$&quot;* &quot;-&quot;????_);_(@_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1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9"/>
      <color indexed="10"/>
      <name val="Arial"/>
      <family val="2"/>
    </font>
    <font>
      <sz val="11"/>
      <color indexed="1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b/>
      <sz val="10"/>
      <color rgb="FFFF0000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double"/>
    </border>
    <border>
      <left style="thin"/>
      <right style="medium"/>
      <top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double"/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" fillId="32" borderId="7" applyNumberFormat="0" applyFont="0" applyAlignment="0" applyProtection="0"/>
    <xf numFmtId="0" fontId="61" fillId="27" borderId="8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95">
    <xf numFmtId="0" fontId="0" fillId="0" borderId="0" xfId="0" applyFont="1" applyAlignment="1">
      <alignment/>
    </xf>
    <xf numFmtId="0" fontId="5" fillId="0" borderId="0" xfId="0" applyFont="1" applyAlignment="1">
      <alignment/>
    </xf>
    <xf numFmtId="44" fontId="5" fillId="0" borderId="0" xfId="44" applyFont="1" applyAlignment="1">
      <alignment/>
    </xf>
    <xf numFmtId="3" fontId="5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4" fontId="11" fillId="0" borderId="15" xfId="44" applyFont="1" applyBorder="1" applyAlignment="1">
      <alignment/>
    </xf>
    <xf numFmtId="0" fontId="11" fillId="0" borderId="15" xfId="44" applyNumberFormat="1" applyFont="1" applyBorder="1" applyAlignment="1">
      <alignment horizontal="center"/>
    </xf>
    <xf numFmtId="0" fontId="11" fillId="0" borderId="16" xfId="44" applyNumberFormat="1" applyFont="1" applyBorder="1" applyAlignment="1">
      <alignment horizontal="center"/>
    </xf>
    <xf numFmtId="44" fontId="11" fillId="0" borderId="17" xfId="44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 wrapText="1"/>
    </xf>
    <xf numFmtId="44" fontId="11" fillId="0" borderId="16" xfId="44" applyFont="1" applyBorder="1" applyAlignment="1">
      <alignment/>
    </xf>
    <xf numFmtId="44" fontId="11" fillId="0" borderId="19" xfId="44" applyFont="1" applyBorder="1" applyAlignment="1">
      <alignment/>
    </xf>
    <xf numFmtId="0" fontId="10" fillId="0" borderId="13" xfId="0" applyFont="1" applyBorder="1" applyAlignment="1">
      <alignment horizontal="center" vertical="justify"/>
    </xf>
    <xf numFmtId="0" fontId="10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44" fontId="11" fillId="0" borderId="0" xfId="44" applyFont="1" applyBorder="1" applyAlignment="1">
      <alignment/>
    </xf>
    <xf numFmtId="0" fontId="11" fillId="0" borderId="0" xfId="44" applyNumberFormat="1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2" fillId="0" borderId="12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44" fontId="11" fillId="0" borderId="23" xfId="44" applyFont="1" applyBorder="1" applyAlignment="1">
      <alignment/>
    </xf>
    <xf numFmtId="44" fontId="11" fillId="0" borderId="24" xfId="44" applyFont="1" applyBorder="1" applyAlignment="1">
      <alignment/>
    </xf>
    <xf numFmtId="0" fontId="11" fillId="0" borderId="24" xfId="44" applyNumberFormat="1" applyFont="1" applyBorder="1" applyAlignment="1">
      <alignment horizontal="center"/>
    </xf>
    <xf numFmtId="44" fontId="10" fillId="0" borderId="17" xfId="44" applyFont="1" applyBorder="1" applyAlignment="1">
      <alignment/>
    </xf>
    <xf numFmtId="44" fontId="10" fillId="0" borderId="25" xfId="44" applyFont="1" applyBorder="1" applyAlignment="1">
      <alignment/>
    </xf>
    <xf numFmtId="0" fontId="4" fillId="0" borderId="12" xfId="0" applyFont="1" applyBorder="1" applyAlignment="1">
      <alignment horizontal="left"/>
    </xf>
    <xf numFmtId="0" fontId="8" fillId="0" borderId="12" xfId="0" applyFont="1" applyBorder="1" applyAlignment="1">
      <alignment vertical="distributed"/>
    </xf>
    <xf numFmtId="0" fontId="10" fillId="0" borderId="18" xfId="0" applyFont="1" applyBorder="1" applyAlignment="1">
      <alignment wrapText="1"/>
    </xf>
    <xf numFmtId="0" fontId="10" fillId="0" borderId="18" xfId="0" applyFont="1" applyBorder="1" applyAlignment="1">
      <alignment vertical="top" wrapText="1"/>
    </xf>
    <xf numFmtId="0" fontId="4" fillId="0" borderId="26" xfId="0" applyFont="1" applyBorder="1" applyAlignment="1">
      <alignment/>
    </xf>
    <xf numFmtId="44" fontId="11" fillId="0" borderId="27" xfId="44" applyFont="1" applyBorder="1" applyAlignment="1">
      <alignment/>
    </xf>
    <xf numFmtId="0" fontId="11" fillId="0" borderId="27" xfId="44" applyNumberFormat="1" applyFont="1" applyBorder="1" applyAlignment="1">
      <alignment horizontal="center"/>
    </xf>
    <xf numFmtId="44" fontId="11" fillId="0" borderId="28" xfId="44" applyFont="1" applyBorder="1" applyAlignment="1">
      <alignment/>
    </xf>
    <xf numFmtId="0" fontId="11" fillId="0" borderId="28" xfId="44" applyNumberFormat="1" applyFont="1" applyBorder="1" applyAlignment="1">
      <alignment horizontal="center"/>
    </xf>
    <xf numFmtId="44" fontId="10" fillId="0" borderId="21" xfId="44" applyFont="1" applyBorder="1" applyAlignment="1">
      <alignment/>
    </xf>
    <xf numFmtId="44" fontId="11" fillId="0" borderId="29" xfId="44" applyFont="1" applyBorder="1" applyAlignment="1">
      <alignment/>
    </xf>
    <xf numFmtId="44" fontId="10" fillId="0" borderId="30" xfId="44" applyFont="1" applyBorder="1" applyAlignment="1">
      <alignment/>
    </xf>
    <xf numFmtId="44" fontId="11" fillId="0" borderId="31" xfId="44" applyFont="1" applyBorder="1" applyAlignment="1">
      <alignment/>
    </xf>
    <xf numFmtId="0" fontId="11" fillId="0" borderId="31" xfId="44" applyNumberFormat="1" applyFont="1" applyBorder="1" applyAlignment="1">
      <alignment horizontal="center"/>
    </xf>
    <xf numFmtId="0" fontId="11" fillId="0" borderId="32" xfId="0" applyFont="1" applyBorder="1" applyAlignment="1">
      <alignment vertical="top" wrapText="1"/>
    </xf>
    <xf numFmtId="44" fontId="11" fillId="0" borderId="33" xfId="44" applyFont="1" applyBorder="1" applyAlignment="1">
      <alignment/>
    </xf>
    <xf numFmtId="172" fontId="11" fillId="0" borderId="31" xfId="44" applyNumberFormat="1" applyFont="1" applyBorder="1" applyAlignment="1">
      <alignment/>
    </xf>
    <xf numFmtId="172" fontId="11" fillId="0" borderId="34" xfId="44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11" fillId="0" borderId="32" xfId="0" applyFont="1" applyBorder="1" applyAlignment="1">
      <alignment horizontal="left" vertical="top" wrapText="1"/>
    </xf>
    <xf numFmtId="0" fontId="20" fillId="0" borderId="0" xfId="0" applyFont="1" applyBorder="1" applyAlignment="1">
      <alignment/>
    </xf>
    <xf numFmtId="0" fontId="18" fillId="0" borderId="16" xfId="0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4" fontId="19" fillId="33" borderId="16" xfId="0" applyNumberFormat="1" applyFont="1" applyFill="1" applyBorder="1" applyAlignment="1">
      <alignment/>
    </xf>
    <xf numFmtId="3" fontId="19" fillId="33" borderId="16" xfId="0" applyNumberFormat="1" applyFont="1" applyFill="1" applyBorder="1" applyAlignment="1">
      <alignment/>
    </xf>
    <xf numFmtId="0" fontId="19" fillId="33" borderId="16" xfId="0" applyNumberFormat="1" applyFont="1" applyFill="1" applyBorder="1" applyAlignment="1">
      <alignment/>
    </xf>
    <xf numFmtId="3" fontId="19" fillId="33" borderId="19" xfId="0" applyNumberFormat="1" applyFont="1" applyFill="1" applyBorder="1" applyAlignment="1">
      <alignment/>
    </xf>
    <xf numFmtId="4" fontId="19" fillId="33" borderId="16" xfId="0" applyNumberFormat="1" applyFont="1" applyFill="1" applyBorder="1" applyAlignment="1">
      <alignment wrapText="1"/>
    </xf>
    <xf numFmtId="4" fontId="19" fillId="34" borderId="16" xfId="0" applyNumberFormat="1" applyFont="1" applyFill="1" applyBorder="1" applyAlignment="1">
      <alignment/>
    </xf>
    <xf numFmtId="3" fontId="19" fillId="34" borderId="16" xfId="0" applyNumberFormat="1" applyFont="1" applyFill="1" applyBorder="1" applyAlignment="1">
      <alignment/>
    </xf>
    <xf numFmtId="0" fontId="19" fillId="34" borderId="16" xfId="0" applyNumberFormat="1" applyFont="1" applyFill="1" applyBorder="1" applyAlignment="1">
      <alignment/>
    </xf>
    <xf numFmtId="3" fontId="19" fillId="34" borderId="19" xfId="0" applyNumberFormat="1" applyFont="1" applyFill="1" applyBorder="1" applyAlignment="1">
      <alignment/>
    </xf>
    <xf numFmtId="3" fontId="19" fillId="35" borderId="16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18" fillId="0" borderId="35" xfId="0" applyNumberFormat="1" applyFont="1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0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/>
    </xf>
    <xf numFmtId="0" fontId="4" fillId="0" borderId="37" xfId="0" applyFont="1" applyBorder="1" applyAlignment="1">
      <alignment horizontal="right"/>
    </xf>
    <xf numFmtId="44" fontId="10" fillId="0" borderId="38" xfId="44" applyFont="1" applyBorder="1" applyAlignment="1">
      <alignment/>
    </xf>
    <xf numFmtId="0" fontId="11" fillId="0" borderId="37" xfId="0" applyFont="1" applyBorder="1" applyAlignment="1">
      <alignment vertical="top" wrapText="1"/>
    </xf>
    <xf numFmtId="44" fontId="11" fillId="0" borderId="38" xfId="44" applyFont="1" applyBorder="1" applyAlignment="1">
      <alignment/>
    </xf>
    <xf numFmtId="0" fontId="10" fillId="0" borderId="2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44" fontId="10" fillId="0" borderId="16" xfId="44" applyFont="1" applyBorder="1" applyAlignment="1">
      <alignment/>
    </xf>
    <xf numFmtId="44" fontId="5" fillId="0" borderId="16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5" xfId="0" applyFont="1" applyBorder="1" applyAlignment="1">
      <alignment/>
    </xf>
    <xf numFmtId="44" fontId="10" fillId="0" borderId="24" xfId="44" applyFont="1" applyBorder="1" applyAlignment="1">
      <alignment/>
    </xf>
    <xf numFmtId="0" fontId="13" fillId="0" borderId="12" xfId="0" applyFont="1" applyBorder="1" applyAlignment="1">
      <alignment/>
    </xf>
    <xf numFmtId="44" fontId="13" fillId="0" borderId="17" xfId="44" applyFont="1" applyBorder="1" applyAlignment="1">
      <alignment/>
    </xf>
    <xf numFmtId="0" fontId="21" fillId="0" borderId="41" xfId="0" applyFont="1" applyBorder="1" applyAlignment="1">
      <alignment/>
    </xf>
    <xf numFmtId="44" fontId="22" fillId="0" borderId="42" xfId="44" applyFont="1" applyBorder="1" applyAlignment="1">
      <alignment/>
    </xf>
    <xf numFmtId="0" fontId="22" fillId="0" borderId="40" xfId="44" applyNumberFormat="1" applyFont="1" applyBorder="1" applyAlignment="1">
      <alignment horizontal="center"/>
    </xf>
    <xf numFmtId="44" fontId="21" fillId="0" borderId="43" xfId="44" applyFont="1" applyBorder="1" applyAlignment="1">
      <alignment/>
    </xf>
    <xf numFmtId="0" fontId="5" fillId="0" borderId="13" xfId="0" applyFont="1" applyBorder="1" applyAlignment="1">
      <alignment/>
    </xf>
    <xf numFmtId="180" fontId="5" fillId="36" borderId="44" xfId="0" applyNumberFormat="1" applyFont="1" applyFill="1" applyBorder="1" applyAlignment="1">
      <alignment horizontal="left" vertical="center"/>
    </xf>
    <xf numFmtId="0" fontId="5" fillId="0" borderId="20" xfId="0" applyFont="1" applyBorder="1" applyAlignment="1">
      <alignment horizontal="center"/>
    </xf>
    <xf numFmtId="44" fontId="10" fillId="0" borderId="28" xfId="44" applyFont="1" applyBorder="1" applyAlignment="1">
      <alignment/>
    </xf>
    <xf numFmtId="44" fontId="10" fillId="0" borderId="20" xfId="44" applyFont="1" applyBorder="1" applyAlignment="1">
      <alignment/>
    </xf>
    <xf numFmtId="44" fontId="12" fillId="0" borderId="16" xfId="44" applyFont="1" applyBorder="1" applyAlignment="1">
      <alignment/>
    </xf>
    <xf numFmtId="44" fontId="10" fillId="0" borderId="45" xfId="44" applyFont="1" applyBorder="1" applyAlignment="1">
      <alignment/>
    </xf>
    <xf numFmtId="44" fontId="12" fillId="0" borderId="35" xfId="44" applyFont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11" fillId="0" borderId="37" xfId="0" applyFont="1" applyBorder="1" applyAlignment="1">
      <alignment horizontal="left"/>
    </xf>
    <xf numFmtId="0" fontId="11" fillId="0" borderId="12" xfId="0" applyFont="1" applyFill="1" applyBorder="1" applyAlignment="1">
      <alignment wrapText="1"/>
    </xf>
    <xf numFmtId="44" fontId="11" fillId="0" borderId="16" xfId="44" applyFont="1" applyFill="1" applyBorder="1" applyAlignment="1">
      <alignment/>
    </xf>
    <xf numFmtId="0" fontId="11" fillId="0" borderId="16" xfId="44" applyNumberFormat="1" applyFont="1" applyFill="1" applyBorder="1" applyAlignment="1">
      <alignment horizontal="center"/>
    </xf>
    <xf numFmtId="44" fontId="11" fillId="0" borderId="17" xfId="44" applyFont="1" applyFill="1" applyBorder="1" applyAlignment="1">
      <alignment/>
    </xf>
    <xf numFmtId="0" fontId="11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wrapText="1"/>
    </xf>
    <xf numFmtId="0" fontId="11" fillId="0" borderId="31" xfId="44" applyNumberFormat="1" applyFont="1" applyFill="1" applyBorder="1" applyAlignment="1">
      <alignment horizontal="center"/>
    </xf>
    <xf numFmtId="44" fontId="11" fillId="0" borderId="31" xfId="44" applyFont="1" applyFill="1" applyBorder="1" applyAlignment="1">
      <alignment/>
    </xf>
    <xf numFmtId="0" fontId="5" fillId="0" borderId="44" xfId="0" applyFont="1" applyBorder="1" applyAlignment="1">
      <alignment horizontal="center" vertical="center"/>
    </xf>
    <xf numFmtId="0" fontId="8" fillId="0" borderId="12" xfId="0" applyFont="1" applyBorder="1" applyAlignment="1">
      <alignment vertical="top" wrapText="1"/>
    </xf>
    <xf numFmtId="0" fontId="11" fillId="0" borderId="46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8" xfId="0" applyFont="1" applyFill="1" applyBorder="1" applyAlignment="1">
      <alignment vertical="top" wrapText="1"/>
    </xf>
    <xf numFmtId="0" fontId="11" fillId="0" borderId="18" xfId="0" applyFont="1" applyFill="1" applyBorder="1" applyAlignment="1">
      <alignment wrapText="1"/>
    </xf>
    <xf numFmtId="44" fontId="11" fillId="0" borderId="33" xfId="44" applyFont="1" applyFill="1" applyBorder="1" applyAlignment="1">
      <alignment/>
    </xf>
    <xf numFmtId="0" fontId="11" fillId="0" borderId="47" xfId="0" applyFont="1" applyFill="1" applyBorder="1" applyAlignment="1">
      <alignment vertical="top" wrapText="1"/>
    </xf>
    <xf numFmtId="0" fontId="11" fillId="37" borderId="18" xfId="0" applyFont="1" applyFill="1" applyBorder="1" applyAlignment="1">
      <alignment wrapText="1"/>
    </xf>
    <xf numFmtId="0" fontId="11" fillId="37" borderId="18" xfId="0" applyFont="1" applyFill="1" applyBorder="1" applyAlignment="1">
      <alignment vertical="top" wrapText="1"/>
    </xf>
    <xf numFmtId="0" fontId="11" fillId="37" borderId="47" xfId="0" applyFont="1" applyFill="1" applyBorder="1" applyAlignment="1">
      <alignment vertical="top" wrapText="1"/>
    </xf>
    <xf numFmtId="44" fontId="11" fillId="0" borderId="19" xfId="44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1" fillId="0" borderId="48" xfId="0" applyFont="1" applyFill="1" applyBorder="1" applyAlignment="1">
      <alignment wrapText="1"/>
    </xf>
    <xf numFmtId="0" fontId="11" fillId="0" borderId="49" xfId="44" applyNumberFormat="1" applyFont="1" applyFill="1" applyBorder="1" applyAlignment="1">
      <alignment horizontal="center"/>
    </xf>
    <xf numFmtId="0" fontId="11" fillId="0" borderId="47" xfId="0" applyFont="1" applyFill="1" applyBorder="1" applyAlignment="1">
      <alignment wrapText="1"/>
    </xf>
    <xf numFmtId="44" fontId="23" fillId="0" borderId="16" xfId="44" applyFont="1" applyFill="1" applyBorder="1" applyAlignment="1">
      <alignment/>
    </xf>
    <xf numFmtId="0" fontId="23" fillId="0" borderId="16" xfId="44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44" fontId="11" fillId="0" borderId="34" xfId="44" applyFont="1" applyBorder="1" applyAlignment="1">
      <alignment/>
    </xf>
    <xf numFmtId="44" fontId="11" fillId="0" borderId="34" xfId="44" applyFont="1" applyFill="1" applyBorder="1" applyAlignment="1">
      <alignment/>
    </xf>
    <xf numFmtId="0" fontId="23" fillId="0" borderId="18" xfId="0" applyFont="1" applyFill="1" applyBorder="1" applyAlignment="1">
      <alignment/>
    </xf>
    <xf numFmtId="0" fontId="23" fillId="0" borderId="18" xfId="0" applyFont="1" applyFill="1" applyBorder="1" applyAlignment="1">
      <alignment wrapText="1"/>
    </xf>
    <xf numFmtId="0" fontId="23" fillId="0" borderId="12" xfId="0" applyFont="1" applyFill="1" applyBorder="1" applyAlignment="1">
      <alignment/>
    </xf>
    <xf numFmtId="44" fontId="63" fillId="0" borderId="0" xfId="0" applyNumberFormat="1" applyFont="1" applyAlignment="1">
      <alignment/>
    </xf>
    <xf numFmtId="0" fontId="65" fillId="0" borderId="0" xfId="0" applyFont="1" applyAlignment="1">
      <alignment/>
    </xf>
    <xf numFmtId="0" fontId="11" fillId="0" borderId="46" xfId="0" applyFont="1" applyFill="1" applyBorder="1" applyAlignment="1">
      <alignment/>
    </xf>
    <xf numFmtId="44" fontId="23" fillId="0" borderId="17" xfId="0" applyNumberFormat="1" applyFont="1" applyFill="1" applyBorder="1" applyAlignment="1">
      <alignment/>
    </xf>
    <xf numFmtId="172" fontId="11" fillId="0" borderId="16" xfId="44" applyNumberFormat="1" applyFont="1" applyFill="1" applyBorder="1" applyAlignment="1">
      <alignment/>
    </xf>
    <xf numFmtId="172" fontId="11" fillId="0" borderId="19" xfId="44" applyNumberFormat="1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24" fillId="0" borderId="0" xfId="0" applyFont="1" applyAlignment="1">
      <alignment horizontal="center" vertical="center"/>
    </xf>
    <xf numFmtId="0" fontId="0" fillId="0" borderId="0" xfId="0" applyNumberFormat="1" applyAlignment="1">
      <alignment/>
    </xf>
    <xf numFmtId="0" fontId="25" fillId="0" borderId="0" xfId="0" applyFont="1" applyAlignment="1">
      <alignment/>
    </xf>
    <xf numFmtId="0" fontId="4" fillId="0" borderId="50" xfId="0" applyFont="1" applyFill="1" applyBorder="1" applyAlignment="1">
      <alignment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/>
    </xf>
    <xf numFmtId="0" fontId="19" fillId="33" borderId="0" xfId="0" applyFont="1" applyFill="1" applyAlignment="1">
      <alignment/>
    </xf>
    <xf numFmtId="193" fontId="19" fillId="33" borderId="0" xfId="42" applyNumberFormat="1" applyFont="1" applyFill="1" applyAlignment="1">
      <alignment/>
    </xf>
    <xf numFmtId="193" fontId="23" fillId="33" borderId="0" xfId="42" applyNumberFormat="1" applyFont="1" applyFill="1" applyAlignment="1">
      <alignment/>
    </xf>
    <xf numFmtId="0" fontId="0" fillId="33" borderId="0" xfId="0" applyFill="1" applyAlignment="1">
      <alignment/>
    </xf>
    <xf numFmtId="193" fontId="23" fillId="33" borderId="16" xfId="42" applyNumberFormat="1" applyFont="1" applyFill="1" applyBorder="1" applyAlignment="1">
      <alignment/>
    </xf>
    <xf numFmtId="43" fontId="0" fillId="0" borderId="0" xfId="0" applyNumberFormat="1" applyAlignment="1">
      <alignment/>
    </xf>
    <xf numFmtId="4" fontId="19" fillId="34" borderId="16" xfId="0" applyNumberFormat="1" applyFont="1" applyFill="1" applyBorder="1" applyAlignment="1">
      <alignment wrapText="1"/>
    </xf>
    <xf numFmtId="0" fontId="19" fillId="34" borderId="0" xfId="0" applyFont="1" applyFill="1" applyAlignment="1">
      <alignment/>
    </xf>
    <xf numFmtId="193" fontId="19" fillId="34" borderId="0" xfId="42" applyNumberFormat="1" applyFont="1" applyFill="1" applyAlignment="1">
      <alignment/>
    </xf>
    <xf numFmtId="193" fontId="23" fillId="34" borderId="0" xfId="42" applyNumberFormat="1" applyFont="1" applyFill="1" applyAlignment="1">
      <alignment/>
    </xf>
    <xf numFmtId="0" fontId="0" fillId="34" borderId="0" xfId="0" applyFill="1" applyAlignment="1">
      <alignment/>
    </xf>
    <xf numFmtId="193" fontId="23" fillId="34" borderId="16" xfId="42" applyNumberFormat="1" applyFont="1" applyFill="1" applyBorder="1" applyAlignment="1">
      <alignment/>
    </xf>
    <xf numFmtId="0" fontId="0" fillId="0" borderId="50" xfId="0" applyBorder="1" applyAlignment="1">
      <alignment/>
    </xf>
    <xf numFmtId="0" fontId="66" fillId="35" borderId="16" xfId="0" applyFont="1" applyFill="1" applyBorder="1" applyAlignment="1">
      <alignment/>
    </xf>
    <xf numFmtId="3" fontId="66" fillId="35" borderId="16" xfId="0" applyNumberFormat="1" applyFont="1" applyFill="1" applyBorder="1" applyAlignment="1">
      <alignment/>
    </xf>
    <xf numFmtId="0" fontId="66" fillId="35" borderId="16" xfId="0" applyNumberFormat="1" applyFont="1" applyFill="1" applyBorder="1" applyAlignment="1">
      <alignment/>
    </xf>
    <xf numFmtId="3" fontId="66" fillId="35" borderId="19" xfId="0" applyNumberFormat="1" applyFont="1" applyFill="1" applyBorder="1" applyAlignment="1">
      <alignment/>
    </xf>
    <xf numFmtId="0" fontId="67" fillId="35" borderId="0" xfId="0" applyFont="1" applyFill="1" applyAlignment="1">
      <alignment/>
    </xf>
    <xf numFmtId="193" fontId="67" fillId="35" borderId="0" xfId="42" applyNumberFormat="1" applyFont="1" applyFill="1" applyAlignment="1">
      <alignment/>
    </xf>
    <xf numFmtId="193" fontId="66" fillId="35" borderId="0" xfId="42" applyNumberFormat="1" applyFont="1" applyFill="1" applyAlignment="1">
      <alignment/>
    </xf>
    <xf numFmtId="193" fontId="67" fillId="35" borderId="16" xfId="42" applyNumberFormat="1" applyFont="1" applyFill="1" applyBorder="1" applyAlignment="1">
      <alignment/>
    </xf>
    <xf numFmtId="4" fontId="66" fillId="35" borderId="16" xfId="0" applyNumberFormat="1" applyFont="1" applyFill="1" applyBorder="1" applyAlignment="1">
      <alignment/>
    </xf>
    <xf numFmtId="4" fontId="66" fillId="35" borderId="19" xfId="0" applyNumberFormat="1" applyFont="1" applyFill="1" applyBorder="1" applyAlignment="1">
      <alignment/>
    </xf>
    <xf numFmtId="0" fontId="0" fillId="35" borderId="0" xfId="0" applyFill="1" applyAlignment="1">
      <alignment/>
    </xf>
    <xf numFmtId="193" fontId="23" fillId="35" borderId="0" xfId="42" applyNumberFormat="1" applyFont="1" applyFill="1" applyAlignment="1">
      <alignment/>
    </xf>
    <xf numFmtId="193" fontId="19" fillId="35" borderId="0" xfId="42" applyNumberFormat="1" applyFont="1" applyFill="1" applyAlignment="1">
      <alignment/>
    </xf>
    <xf numFmtId="9" fontId="19" fillId="0" borderId="0" xfId="0" applyNumberFormat="1" applyFont="1" applyFill="1" applyBorder="1" applyAlignment="1">
      <alignment/>
    </xf>
    <xf numFmtId="3" fontId="19" fillId="0" borderId="49" xfId="0" applyNumberFormat="1" applyFont="1" applyFill="1" applyBorder="1" applyAlignment="1">
      <alignment/>
    </xf>
    <xf numFmtId="193" fontId="23" fillId="0" borderId="0" xfId="42" applyNumberFormat="1" applyFont="1" applyAlignment="1">
      <alignment/>
    </xf>
    <xf numFmtId="0" fontId="0" fillId="0" borderId="16" xfId="0" applyBorder="1" applyAlignment="1">
      <alignment/>
    </xf>
    <xf numFmtId="3" fontId="4" fillId="0" borderId="16" xfId="0" applyNumberFormat="1" applyFont="1" applyFill="1" applyBorder="1" applyAlignment="1">
      <alignment/>
    </xf>
    <xf numFmtId="193" fontId="4" fillId="0" borderId="0" xfId="42" applyNumberFormat="1" applyFont="1" applyAlignment="1">
      <alignment/>
    </xf>
    <xf numFmtId="193" fontId="18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9" fillId="0" borderId="0" xfId="0" applyNumberFormat="1" applyFont="1" applyAlignment="1">
      <alignment/>
    </xf>
    <xf numFmtId="9" fontId="23" fillId="0" borderId="0" xfId="59" applyFont="1" applyAlignment="1">
      <alignment/>
    </xf>
    <xf numFmtId="3" fontId="0" fillId="0" borderId="0" xfId="0" applyNumberFormat="1" applyAlignment="1">
      <alignment/>
    </xf>
    <xf numFmtId="49" fontId="23" fillId="0" borderId="0" xfId="42" applyNumberFormat="1" applyFont="1" applyAlignment="1">
      <alignment/>
    </xf>
    <xf numFmtId="9" fontId="0" fillId="0" borderId="0" xfId="0" applyNumberFormat="1" applyAlignment="1">
      <alignment/>
    </xf>
    <xf numFmtId="171" fontId="4" fillId="0" borderId="0" xfId="42" applyNumberFormat="1" applyFont="1" applyAlignment="1">
      <alignment/>
    </xf>
    <xf numFmtId="171" fontId="23" fillId="0" borderId="0" xfId="42" applyNumberFormat="1" applyFont="1" applyAlignment="1">
      <alignment/>
    </xf>
    <xf numFmtId="171" fontId="0" fillId="0" borderId="0" xfId="0" applyNumberFormat="1" applyAlignment="1">
      <alignment/>
    </xf>
    <xf numFmtId="0" fontId="11" fillId="37" borderId="52" xfId="0" applyFont="1" applyFill="1" applyBorder="1" applyAlignment="1">
      <alignment vertical="top" wrapText="1"/>
    </xf>
    <xf numFmtId="44" fontId="11" fillId="0" borderId="40" xfId="44" applyFont="1" applyFill="1" applyBorder="1" applyAlignment="1">
      <alignment/>
    </xf>
    <xf numFmtId="0" fontId="11" fillId="0" borderId="40" xfId="44" applyNumberFormat="1" applyFont="1" applyFill="1" applyBorder="1" applyAlignment="1">
      <alignment horizontal="center"/>
    </xf>
    <xf numFmtId="0" fontId="11" fillId="37" borderId="53" xfId="0" applyFont="1" applyFill="1" applyBorder="1" applyAlignment="1">
      <alignment vertical="top" wrapText="1"/>
    </xf>
    <xf numFmtId="44" fontId="11" fillId="0" borderId="20" xfId="44" applyFont="1" applyFill="1" applyBorder="1" applyAlignment="1">
      <alignment/>
    </xf>
    <xf numFmtId="0" fontId="11" fillId="0" borderId="20" xfId="44" applyNumberFormat="1" applyFont="1" applyFill="1" applyBorder="1" applyAlignment="1">
      <alignment horizontal="center"/>
    </xf>
    <xf numFmtId="44" fontId="11" fillId="0" borderId="21" xfId="44" applyFont="1" applyFill="1" applyBorder="1" applyAlignment="1">
      <alignment/>
    </xf>
    <xf numFmtId="44" fontId="11" fillId="0" borderId="43" xfId="44" applyFont="1" applyFill="1" applyBorder="1" applyAlignment="1">
      <alignment/>
    </xf>
    <xf numFmtId="0" fontId="11" fillId="0" borderId="37" xfId="0" applyFont="1" applyBorder="1" applyAlignment="1">
      <alignment horizontal="justify" vertical="top" wrapText="1"/>
    </xf>
    <xf numFmtId="0" fontId="11" fillId="0" borderId="47" xfId="0" applyFont="1" applyBorder="1" applyAlignment="1">
      <alignment vertical="top" wrapText="1"/>
    </xf>
    <xf numFmtId="0" fontId="23" fillId="0" borderId="53" xfId="0" applyFont="1" applyFill="1" applyBorder="1" applyAlignment="1">
      <alignment/>
    </xf>
    <xf numFmtId="174" fontId="23" fillId="0" borderId="20" xfId="0" applyNumberFormat="1" applyFont="1" applyFill="1" applyBorder="1" applyAlignment="1">
      <alignment/>
    </xf>
    <xf numFmtId="185" fontId="23" fillId="0" borderId="20" xfId="0" applyNumberFormat="1" applyFont="1" applyFill="1" applyBorder="1" applyAlignment="1">
      <alignment/>
    </xf>
    <xf numFmtId="175" fontId="23" fillId="0" borderId="16" xfId="44" applyNumberFormat="1" applyFont="1" applyFill="1" applyBorder="1" applyAlignment="1">
      <alignment/>
    </xf>
    <xf numFmtId="189" fontId="23" fillId="0" borderId="16" xfId="44" applyNumberFormat="1" applyFont="1" applyFill="1" applyBorder="1" applyAlignment="1">
      <alignment/>
    </xf>
    <xf numFmtId="190" fontId="23" fillId="0" borderId="16" xfId="44" applyNumberFormat="1" applyFont="1" applyFill="1" applyBorder="1" applyAlignment="1">
      <alignment/>
    </xf>
    <xf numFmtId="0" fontId="23" fillId="0" borderId="52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54" xfId="0" applyFont="1" applyBorder="1" applyAlignment="1">
      <alignment/>
    </xf>
    <xf numFmtId="0" fontId="21" fillId="0" borderId="0" xfId="0" applyFont="1" applyAlignment="1">
      <alignment wrapText="1"/>
    </xf>
    <xf numFmtId="40" fontId="10" fillId="0" borderId="30" xfId="44" applyNumberFormat="1" applyFont="1" applyBorder="1" applyAlignment="1">
      <alignment/>
    </xf>
    <xf numFmtId="0" fontId="10" fillId="0" borderId="55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23" fillId="0" borderId="17" xfId="0" applyNumberFormat="1" applyFont="1" applyFill="1" applyBorder="1" applyAlignment="1">
      <alignment horizontal="center"/>
    </xf>
    <xf numFmtId="0" fontId="10" fillId="0" borderId="17" xfId="44" applyNumberFormat="1" applyFont="1" applyBorder="1" applyAlignment="1">
      <alignment horizontal="center"/>
    </xf>
    <xf numFmtId="0" fontId="11" fillId="0" borderId="17" xfId="44" applyNumberFormat="1" applyFont="1" applyBorder="1" applyAlignment="1">
      <alignment horizontal="center"/>
    </xf>
    <xf numFmtId="0" fontId="10" fillId="0" borderId="25" xfId="44" applyNumberFormat="1" applyFont="1" applyBorder="1" applyAlignment="1">
      <alignment horizontal="center"/>
    </xf>
    <xf numFmtId="0" fontId="11" fillId="0" borderId="23" xfId="44" applyNumberFormat="1" applyFont="1" applyBorder="1" applyAlignment="1">
      <alignment horizontal="center"/>
    </xf>
    <xf numFmtId="0" fontId="11" fillId="0" borderId="17" xfId="44" applyNumberFormat="1" applyFont="1" applyFill="1" applyBorder="1" applyAlignment="1">
      <alignment horizontal="center"/>
    </xf>
    <xf numFmtId="0" fontId="11" fillId="0" borderId="33" xfId="44" applyNumberFormat="1" applyFont="1" applyFill="1" applyBorder="1" applyAlignment="1">
      <alignment horizontal="center"/>
    </xf>
    <xf numFmtId="0" fontId="11" fillId="0" borderId="33" xfId="44" applyNumberFormat="1" applyFont="1" applyBorder="1" applyAlignment="1">
      <alignment horizontal="center"/>
    </xf>
    <xf numFmtId="0" fontId="10" fillId="0" borderId="38" xfId="44" applyNumberFormat="1" applyFont="1" applyBorder="1" applyAlignment="1">
      <alignment horizontal="center"/>
    </xf>
    <xf numFmtId="0" fontId="10" fillId="0" borderId="21" xfId="44" applyNumberFormat="1" applyFont="1" applyBorder="1" applyAlignment="1">
      <alignment horizontal="center"/>
    </xf>
    <xf numFmtId="0" fontId="13" fillId="0" borderId="17" xfId="44" applyNumberFormat="1" applyFont="1" applyBorder="1" applyAlignment="1">
      <alignment horizontal="center"/>
    </xf>
    <xf numFmtId="0" fontId="21" fillId="0" borderId="43" xfId="44" applyNumberFormat="1" applyFont="1" applyBorder="1" applyAlignment="1">
      <alignment horizontal="center"/>
    </xf>
    <xf numFmtId="0" fontId="11" fillId="0" borderId="38" xfId="44" applyNumberFormat="1" applyFont="1" applyBorder="1" applyAlignment="1">
      <alignment horizontal="center"/>
    </xf>
    <xf numFmtId="44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0" fillId="0" borderId="11" xfId="0" applyNumberFormat="1" applyFont="1" applyFill="1" applyBorder="1" applyAlignment="1">
      <alignment horizontal="center" vertical="center"/>
    </xf>
    <xf numFmtId="0" fontId="23" fillId="0" borderId="17" xfId="0" applyNumberFormat="1" applyFont="1" applyFill="1" applyBorder="1" applyAlignment="1">
      <alignment/>
    </xf>
    <xf numFmtId="0" fontId="11" fillId="0" borderId="17" xfId="44" applyNumberFormat="1" applyFont="1" applyFill="1" applyBorder="1" applyAlignment="1">
      <alignment/>
    </xf>
    <xf numFmtId="0" fontId="67" fillId="0" borderId="17" xfId="44" applyNumberFormat="1" applyFont="1" applyFill="1" applyBorder="1" applyAlignment="1">
      <alignment/>
    </xf>
    <xf numFmtId="0" fontId="11" fillId="0" borderId="33" xfId="44" applyNumberFormat="1" applyFont="1" applyFill="1" applyBorder="1" applyAlignment="1">
      <alignment/>
    </xf>
    <xf numFmtId="0" fontId="10" fillId="0" borderId="17" xfId="44" applyNumberFormat="1" applyFont="1" applyBorder="1" applyAlignment="1">
      <alignment/>
    </xf>
    <xf numFmtId="0" fontId="11" fillId="0" borderId="17" xfId="44" applyNumberFormat="1" applyFont="1" applyBorder="1" applyAlignment="1">
      <alignment/>
    </xf>
    <xf numFmtId="0" fontId="10" fillId="0" borderId="25" xfId="44" applyNumberFormat="1" applyFont="1" applyBorder="1" applyAlignment="1">
      <alignment/>
    </xf>
    <xf numFmtId="0" fontId="11" fillId="0" borderId="23" xfId="44" applyNumberFormat="1" applyFont="1" applyBorder="1" applyAlignment="1">
      <alignment/>
    </xf>
    <xf numFmtId="0" fontId="11" fillId="0" borderId="17" xfId="44" applyNumberFormat="1" applyFont="1" applyFill="1" applyBorder="1" applyAlignment="1">
      <alignment horizontal="right" wrapText="1"/>
    </xf>
    <xf numFmtId="0" fontId="11" fillId="0" borderId="33" xfId="44" applyNumberFormat="1" applyFont="1" applyBorder="1" applyAlignment="1">
      <alignment/>
    </xf>
    <xf numFmtId="0" fontId="10" fillId="0" borderId="38" xfId="44" applyNumberFormat="1" applyFont="1" applyBorder="1" applyAlignment="1">
      <alignment/>
    </xf>
    <xf numFmtId="0" fontId="10" fillId="0" borderId="21" xfId="44" applyNumberFormat="1" applyFont="1" applyBorder="1" applyAlignment="1">
      <alignment/>
    </xf>
    <xf numFmtId="0" fontId="13" fillId="0" borderId="17" xfId="44" applyNumberFormat="1" applyFont="1" applyBorder="1" applyAlignment="1">
      <alignment/>
    </xf>
    <xf numFmtId="0" fontId="21" fillId="0" borderId="43" xfId="44" applyNumberFormat="1" applyFont="1" applyBorder="1" applyAlignment="1">
      <alignment/>
    </xf>
    <xf numFmtId="0" fontId="11" fillId="0" borderId="38" xfId="44" applyNumberFormat="1" applyFont="1" applyBorder="1" applyAlignment="1">
      <alignment/>
    </xf>
    <xf numFmtId="0" fontId="10" fillId="0" borderId="30" xfId="44" applyNumberFormat="1" applyFont="1" applyBorder="1" applyAlignment="1">
      <alignment/>
    </xf>
    <xf numFmtId="0" fontId="11" fillId="0" borderId="0" xfId="44" applyNumberFormat="1" applyFont="1" applyBorder="1" applyAlignment="1">
      <alignment/>
    </xf>
    <xf numFmtId="0" fontId="5" fillId="0" borderId="0" xfId="44" applyNumberFormat="1" applyFont="1" applyAlignment="1">
      <alignment/>
    </xf>
    <xf numFmtId="0" fontId="5" fillId="0" borderId="0" xfId="0" applyNumberFormat="1" applyFont="1" applyAlignment="1">
      <alignment/>
    </xf>
    <xf numFmtId="0" fontId="14" fillId="0" borderId="0" xfId="0" applyFont="1" applyAlignment="1">
      <alignment/>
    </xf>
    <xf numFmtId="0" fontId="68" fillId="0" borderId="44" xfId="0" applyFont="1" applyBorder="1" applyAlignment="1">
      <alignment horizontal="right" vertical="center"/>
    </xf>
    <xf numFmtId="180" fontId="68" fillId="36" borderId="44" xfId="0" applyNumberFormat="1" applyFont="1" applyFill="1" applyBorder="1" applyAlignment="1">
      <alignment horizontal="left" vertical="center"/>
    </xf>
    <xf numFmtId="0" fontId="68" fillId="0" borderId="44" xfId="0" applyFont="1" applyBorder="1" applyAlignment="1">
      <alignment horizontal="center" vertical="center"/>
    </xf>
    <xf numFmtId="0" fontId="69" fillId="0" borderId="26" xfId="0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/>
    </xf>
    <xf numFmtId="0" fontId="69" fillId="0" borderId="39" xfId="0" applyFont="1" applyBorder="1" applyAlignment="1">
      <alignment horizontal="center" vertical="center"/>
    </xf>
    <xf numFmtId="0" fontId="68" fillId="0" borderId="53" xfId="0" applyFont="1" applyBorder="1" applyAlignment="1">
      <alignment/>
    </xf>
    <xf numFmtId="0" fontId="68" fillId="0" borderId="20" xfId="0" applyFont="1" applyBorder="1" applyAlignment="1">
      <alignment horizontal="center"/>
    </xf>
    <xf numFmtId="0" fontId="68" fillId="0" borderId="18" xfId="0" applyFont="1" applyBorder="1" applyAlignment="1">
      <alignment/>
    </xf>
    <xf numFmtId="0" fontId="68" fillId="0" borderId="16" xfId="0" applyFont="1" applyBorder="1" applyAlignment="1">
      <alignment/>
    </xf>
    <xf numFmtId="44" fontId="67" fillId="0" borderId="18" xfId="44" applyFont="1" applyBorder="1" applyAlignment="1">
      <alignment/>
    </xf>
    <xf numFmtId="3" fontId="68" fillId="0" borderId="18" xfId="0" applyNumberFormat="1" applyFont="1" applyBorder="1" applyAlignment="1">
      <alignment/>
    </xf>
    <xf numFmtId="44" fontId="67" fillId="0" borderId="16" xfId="44" applyFont="1" applyBorder="1" applyAlignment="1">
      <alignment/>
    </xf>
    <xf numFmtId="44" fontId="69" fillId="0" borderId="18" xfId="44" applyFont="1" applyBorder="1" applyAlignment="1">
      <alignment/>
    </xf>
    <xf numFmtId="44" fontId="69" fillId="0" borderId="16" xfId="44" applyFont="1" applyBorder="1" applyAlignment="1">
      <alignment/>
    </xf>
    <xf numFmtId="44" fontId="69" fillId="0" borderId="56" xfId="44" applyFont="1" applyBorder="1" applyAlignment="1">
      <alignment/>
    </xf>
    <xf numFmtId="44" fontId="69" fillId="0" borderId="24" xfId="44" applyFont="1" applyBorder="1" applyAlignment="1">
      <alignment/>
    </xf>
    <xf numFmtId="0" fontId="68" fillId="0" borderId="46" xfId="0" applyFont="1" applyBorder="1" applyAlignment="1">
      <alignment/>
    </xf>
    <xf numFmtId="0" fontId="68" fillId="0" borderId="15" xfId="0" applyFont="1" applyBorder="1" applyAlignment="1">
      <alignment/>
    </xf>
    <xf numFmtId="44" fontId="68" fillId="0" borderId="16" xfId="0" applyNumberFormat="1" applyFont="1" applyBorder="1" applyAlignment="1">
      <alignment/>
    </xf>
    <xf numFmtId="184" fontId="67" fillId="0" borderId="18" xfId="0" applyNumberFormat="1" applyFont="1" applyBorder="1" applyAlignment="1">
      <alignment/>
    </xf>
    <xf numFmtId="0" fontId="68" fillId="0" borderId="36" xfId="0" applyFont="1" applyBorder="1" applyAlignment="1">
      <alignment/>
    </xf>
    <xf numFmtId="0" fontId="68" fillId="0" borderId="13" xfId="0" applyFont="1" applyBorder="1" applyAlignment="1">
      <alignment/>
    </xf>
    <xf numFmtId="44" fontId="69" fillId="0" borderId="10" xfId="44" applyFont="1" applyBorder="1" applyAlignment="1">
      <alignment/>
    </xf>
    <xf numFmtId="44" fontId="69" fillId="0" borderId="20" xfId="44" applyFont="1" applyBorder="1" applyAlignment="1">
      <alignment/>
    </xf>
    <xf numFmtId="44" fontId="69" fillId="0" borderId="45" xfId="44" applyFont="1" applyBorder="1" applyAlignment="1">
      <alignment/>
    </xf>
    <xf numFmtId="44" fontId="67" fillId="0" borderId="12" xfId="44" applyFont="1" applyBorder="1" applyAlignment="1">
      <alignment/>
    </xf>
    <xf numFmtId="44" fontId="67" fillId="0" borderId="35" xfId="44" applyFont="1" applyBorder="1" applyAlignment="1">
      <alignment/>
    </xf>
    <xf numFmtId="0" fontId="68" fillId="0" borderId="40" xfId="0" applyFont="1" applyBorder="1" applyAlignment="1">
      <alignment/>
    </xf>
    <xf numFmtId="44" fontId="69" fillId="0" borderId="26" xfId="44" applyFont="1" applyBorder="1" applyAlignment="1">
      <alignment/>
    </xf>
    <xf numFmtId="44" fontId="69" fillId="0" borderId="28" xfId="44" applyFont="1" applyBorder="1" applyAlignment="1">
      <alignment/>
    </xf>
    <xf numFmtId="0" fontId="68" fillId="0" borderId="0" xfId="0" applyFont="1" applyAlignment="1">
      <alignment/>
    </xf>
    <xf numFmtId="0" fontId="68" fillId="0" borderId="57" xfId="0" applyFont="1" applyBorder="1" applyAlignment="1">
      <alignment/>
    </xf>
    <xf numFmtId="0" fontId="68" fillId="0" borderId="19" xfId="0" applyFont="1" applyBorder="1" applyAlignment="1">
      <alignment/>
    </xf>
    <xf numFmtId="44" fontId="67" fillId="0" borderId="19" xfId="44" applyFont="1" applyBorder="1" applyAlignment="1">
      <alignment/>
    </xf>
    <xf numFmtId="44" fontId="69" fillId="0" borderId="19" xfId="44" applyFont="1" applyBorder="1" applyAlignment="1">
      <alignment/>
    </xf>
    <xf numFmtId="44" fontId="69" fillId="0" borderId="58" xfId="44" applyFont="1" applyBorder="1" applyAlignment="1">
      <alignment/>
    </xf>
    <xf numFmtId="0" fontId="68" fillId="0" borderId="59" xfId="0" applyFont="1" applyBorder="1" applyAlignment="1">
      <alignment/>
    </xf>
    <xf numFmtId="0" fontId="68" fillId="0" borderId="60" xfId="0" applyFont="1" applyBorder="1" applyAlignment="1">
      <alignment/>
    </xf>
    <xf numFmtId="0" fontId="68" fillId="0" borderId="61" xfId="0" applyFont="1" applyBorder="1" applyAlignment="1">
      <alignment/>
    </xf>
    <xf numFmtId="44" fontId="69" fillId="0" borderId="62" xfId="44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44" fontId="23" fillId="0" borderId="65" xfId="0" applyNumberFormat="1" applyFont="1" applyFill="1" applyBorder="1" applyAlignment="1">
      <alignment/>
    </xf>
    <xf numFmtId="44" fontId="11" fillId="0" borderId="65" xfId="44" applyFont="1" applyFill="1" applyBorder="1" applyAlignment="1">
      <alignment/>
    </xf>
    <xf numFmtId="44" fontId="11" fillId="0" borderId="66" xfId="44" applyFont="1" applyFill="1" applyBorder="1" applyAlignment="1">
      <alignment/>
    </xf>
    <xf numFmtId="44" fontId="10" fillId="0" borderId="65" xfId="44" applyFont="1" applyBorder="1" applyAlignment="1">
      <alignment/>
    </xf>
    <xf numFmtId="44" fontId="11" fillId="0" borderId="65" xfId="44" applyFont="1" applyBorder="1" applyAlignment="1">
      <alignment/>
    </xf>
    <xf numFmtId="44" fontId="10" fillId="0" borderId="67" xfId="44" applyFont="1" applyBorder="1" applyAlignment="1">
      <alignment/>
    </xf>
    <xf numFmtId="44" fontId="11" fillId="0" borderId="68" xfId="44" applyFont="1" applyBorder="1" applyAlignment="1">
      <alignment/>
    </xf>
    <xf numFmtId="44" fontId="11" fillId="0" borderId="66" xfId="44" applyFont="1" applyBorder="1" applyAlignment="1">
      <alignment/>
    </xf>
    <xf numFmtId="44" fontId="10" fillId="0" borderId="69" xfId="44" applyFont="1" applyBorder="1" applyAlignment="1">
      <alignment/>
    </xf>
    <xf numFmtId="44" fontId="10" fillId="0" borderId="64" xfId="44" applyFont="1" applyBorder="1" applyAlignment="1">
      <alignment/>
    </xf>
    <xf numFmtId="44" fontId="13" fillId="0" borderId="65" xfId="44" applyFont="1" applyBorder="1" applyAlignment="1">
      <alignment/>
    </xf>
    <xf numFmtId="44" fontId="21" fillId="0" borderId="70" xfId="44" applyFont="1" applyBorder="1" applyAlignment="1">
      <alignment/>
    </xf>
    <xf numFmtId="44" fontId="11" fillId="0" borderId="69" xfId="44" applyFont="1" applyBorder="1" applyAlignment="1">
      <alignment/>
    </xf>
    <xf numFmtId="44" fontId="10" fillId="0" borderId="63" xfId="44" applyFont="1" applyBorder="1" applyAlignment="1">
      <alignment/>
    </xf>
    <xf numFmtId="4" fontId="23" fillId="0" borderId="57" xfId="0" applyNumberFormat="1" applyFont="1" applyFill="1" applyBorder="1" applyAlignment="1">
      <alignment/>
    </xf>
    <xf numFmtId="4" fontId="11" fillId="0" borderId="19" xfId="0" applyNumberFormat="1" applyFont="1" applyBorder="1" applyAlignment="1">
      <alignment/>
    </xf>
    <xf numFmtId="4" fontId="11" fillId="0" borderId="61" xfId="0" applyNumberFormat="1" applyFont="1" applyBorder="1" applyAlignment="1">
      <alignment/>
    </xf>
    <xf numFmtId="4" fontId="10" fillId="0" borderId="62" xfId="0" applyNumberFormat="1" applyFont="1" applyBorder="1" applyAlignment="1">
      <alignment vertical="center"/>
    </xf>
    <xf numFmtId="0" fontId="4" fillId="0" borderId="30" xfId="0" applyFont="1" applyFill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/>
    </xf>
    <xf numFmtId="3" fontId="14" fillId="0" borderId="53" xfId="0" applyNumberFormat="1" applyFont="1" applyFill="1" applyBorder="1" applyAlignment="1">
      <alignment/>
    </xf>
    <xf numFmtId="0" fontId="14" fillId="0" borderId="20" xfId="0" applyNumberFormat="1" applyFont="1" applyFill="1" applyBorder="1" applyAlignment="1">
      <alignment/>
    </xf>
    <xf numFmtId="0" fontId="68" fillId="0" borderId="21" xfId="0" applyFont="1" applyBorder="1" applyAlignment="1">
      <alignment/>
    </xf>
    <xf numFmtId="0" fontId="68" fillId="0" borderId="17" xfId="0" applyFont="1" applyBorder="1" applyAlignment="1">
      <alignment/>
    </xf>
    <xf numFmtId="3" fontId="7" fillId="0" borderId="52" xfId="0" applyNumberFormat="1" applyFont="1" applyBorder="1" applyAlignment="1">
      <alignment/>
    </xf>
    <xf numFmtId="0" fontId="7" fillId="0" borderId="40" xfId="0" applyNumberFormat="1" applyFont="1" applyBorder="1" applyAlignment="1">
      <alignment/>
    </xf>
    <xf numFmtId="0" fontId="68" fillId="0" borderId="43" xfId="0" applyFont="1" applyBorder="1" applyAlignment="1">
      <alignment/>
    </xf>
    <xf numFmtId="44" fontId="14" fillId="0" borderId="0" xfId="0" applyNumberFormat="1" applyFont="1" applyAlignment="1">
      <alignment/>
    </xf>
    <xf numFmtId="44" fontId="14" fillId="0" borderId="0" xfId="44" applyFont="1" applyFill="1" applyBorder="1" applyAlignment="1">
      <alignment/>
    </xf>
    <xf numFmtId="0" fontId="14" fillId="0" borderId="55" xfId="0" applyFont="1" applyBorder="1" applyAlignment="1">
      <alignment/>
    </xf>
    <xf numFmtId="44" fontId="14" fillId="0" borderId="55" xfId="0" applyNumberFormat="1" applyFont="1" applyBorder="1" applyAlignment="1">
      <alignment/>
    </xf>
    <xf numFmtId="3" fontId="68" fillId="0" borderId="21" xfId="0" applyNumberFormat="1" applyFont="1" applyBorder="1" applyAlignment="1">
      <alignment/>
    </xf>
    <xf numFmtId="44" fontId="10" fillId="0" borderId="30" xfId="44" applyNumberFormat="1" applyFont="1" applyBorder="1" applyAlignment="1">
      <alignment horizontal="center"/>
    </xf>
    <xf numFmtId="43" fontId="5" fillId="0" borderId="0" xfId="44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45" fillId="0" borderId="0" xfId="0" applyNumberFormat="1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4" fontId="46" fillId="0" borderId="0" xfId="0" applyNumberFormat="1" applyFont="1" applyFill="1" applyBorder="1" applyAlignment="1">
      <alignment/>
    </xf>
    <xf numFmtId="43" fontId="45" fillId="0" borderId="0" xfId="42" applyFont="1" applyFill="1" applyBorder="1" applyAlignment="1">
      <alignment/>
    </xf>
    <xf numFmtId="0" fontId="40" fillId="0" borderId="0" xfId="0" applyFont="1" applyAlignment="1">
      <alignment/>
    </xf>
    <xf numFmtId="43" fontId="1" fillId="0" borderId="0" xfId="0" applyNumberFormat="1" applyFont="1" applyAlignment="1">
      <alignment/>
    </xf>
    <xf numFmtId="43" fontId="40" fillId="0" borderId="0" xfId="42" applyNumberFormat="1" applyFont="1" applyAlignment="1">
      <alignment/>
    </xf>
    <xf numFmtId="44" fontId="1" fillId="0" borderId="0" xfId="0" applyNumberFormat="1" applyFont="1" applyAlignment="1">
      <alignment/>
    </xf>
    <xf numFmtId="3" fontId="47" fillId="0" borderId="55" xfId="0" applyNumberFormat="1" applyFont="1" applyBorder="1" applyAlignment="1">
      <alignment/>
    </xf>
    <xf numFmtId="3" fontId="48" fillId="0" borderId="55" xfId="0" applyNumberFormat="1" applyFont="1" applyBorder="1" applyAlignment="1">
      <alignment/>
    </xf>
    <xf numFmtId="4" fontId="1" fillId="0" borderId="55" xfId="0" applyNumberFormat="1" applyFont="1" applyBorder="1" applyAlignment="1">
      <alignment/>
    </xf>
    <xf numFmtId="4" fontId="48" fillId="0" borderId="55" xfId="0" applyNumberFormat="1" applyFont="1" applyBorder="1" applyAlignment="1">
      <alignment/>
    </xf>
    <xf numFmtId="43" fontId="45" fillId="0" borderId="55" xfId="42" applyFont="1" applyFill="1" applyBorder="1" applyAlignment="1">
      <alignment/>
    </xf>
    <xf numFmtId="43" fontId="1" fillId="0" borderId="0" xfId="42" applyFont="1" applyAlignment="1">
      <alignment/>
    </xf>
    <xf numFmtId="43" fontId="40" fillId="0" borderId="0" xfId="42" applyFont="1" applyAlignment="1">
      <alignment/>
    </xf>
    <xf numFmtId="0" fontId="1" fillId="0" borderId="16" xfId="0" applyFont="1" applyBorder="1" applyAlignment="1">
      <alignment/>
    </xf>
    <xf numFmtId="44" fontId="1" fillId="0" borderId="16" xfId="0" applyNumberFormat="1" applyFont="1" applyBorder="1" applyAlignment="1">
      <alignment/>
    </xf>
    <xf numFmtId="44" fontId="1" fillId="0" borderId="16" xfId="0" applyNumberFormat="1" applyFont="1" applyBorder="1" applyAlignment="1">
      <alignment vertical="center"/>
    </xf>
    <xf numFmtId="44" fontId="14" fillId="0" borderId="16" xfId="0" applyNumberFormat="1" applyFont="1" applyBorder="1" applyAlignment="1">
      <alignment/>
    </xf>
    <xf numFmtId="44" fontId="5" fillId="0" borderId="15" xfId="0" applyNumberFormat="1" applyFont="1" applyBorder="1" applyAlignment="1">
      <alignment/>
    </xf>
    <xf numFmtId="44" fontId="14" fillId="0" borderId="15" xfId="0" applyNumberFormat="1" applyFont="1" applyBorder="1" applyAlignment="1">
      <alignment/>
    </xf>
    <xf numFmtId="0" fontId="5" fillId="0" borderId="24" xfId="0" applyFont="1" applyBorder="1" applyAlignment="1">
      <alignment/>
    </xf>
    <xf numFmtId="44" fontId="14" fillId="0" borderId="24" xfId="0" applyNumberFormat="1" applyFont="1" applyBorder="1" applyAlignment="1">
      <alignment/>
    </xf>
    <xf numFmtId="0" fontId="5" fillId="0" borderId="71" xfId="0" applyNumberFormat="1" applyFont="1" applyBorder="1" applyAlignment="1">
      <alignment/>
    </xf>
    <xf numFmtId="0" fontId="5" fillId="0" borderId="28" xfId="0" applyFont="1" applyBorder="1" applyAlignment="1">
      <alignment/>
    </xf>
    <xf numFmtId="0" fontId="14" fillId="0" borderId="28" xfId="0" applyFont="1" applyBorder="1" applyAlignment="1">
      <alignment/>
    </xf>
    <xf numFmtId="0" fontId="5" fillId="0" borderId="30" xfId="0" applyFont="1" applyBorder="1" applyAlignment="1">
      <alignment/>
    </xf>
    <xf numFmtId="44" fontId="1" fillId="38" borderId="16" xfId="0" applyNumberFormat="1" applyFont="1" applyFill="1" applyBorder="1" applyAlignment="1">
      <alignment/>
    </xf>
    <xf numFmtId="44" fontId="11" fillId="37" borderId="16" xfId="44" applyFont="1" applyFill="1" applyBorder="1" applyAlignment="1">
      <alignment/>
    </xf>
    <xf numFmtId="0" fontId="11" fillId="37" borderId="18" xfId="0" applyFont="1" applyFill="1" applyBorder="1" applyAlignment="1">
      <alignment horizontal="left"/>
    </xf>
    <xf numFmtId="44" fontId="11" fillId="37" borderId="34" xfId="44" applyFont="1" applyFill="1" applyBorder="1" applyAlignment="1">
      <alignment/>
    </xf>
    <xf numFmtId="44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0" fontId="21" fillId="0" borderId="36" xfId="0" applyNumberFormat="1" applyFont="1" applyBorder="1" applyAlignment="1">
      <alignment horizontal="center" wrapText="1"/>
    </xf>
    <xf numFmtId="40" fontId="21" fillId="0" borderId="28" xfId="0" applyNumberFormat="1" applyFont="1" applyBorder="1" applyAlignment="1">
      <alignment horizontal="center" wrapText="1"/>
    </xf>
    <xf numFmtId="0" fontId="10" fillId="0" borderId="26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4"/>
  <sheetViews>
    <sheetView tabSelected="1" zoomScale="85" zoomScaleNormal="85" zoomScaleSheetLayoutView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3" sqref="A13"/>
    </sheetView>
  </sheetViews>
  <sheetFormatPr defaultColWidth="9.140625" defaultRowHeight="15"/>
  <cols>
    <col min="1" max="1" width="46.28125" style="1" customWidth="1"/>
    <col min="2" max="2" width="20.28125" style="1" customWidth="1"/>
    <col min="3" max="3" width="14.8515625" style="1" customWidth="1"/>
    <col min="4" max="4" width="20.28125" style="1" customWidth="1"/>
    <col min="5" max="5" width="20.421875" style="1" bestFit="1" customWidth="1"/>
    <col min="6" max="6" width="9.140625" style="260" customWidth="1"/>
    <col min="7" max="9" width="18.7109375" style="293" customWidth="1"/>
    <col min="10" max="11" width="14.00390625" style="1" customWidth="1"/>
    <col min="12" max="12" width="15.28125" style="1" customWidth="1"/>
    <col min="13" max="14" width="16.00390625" style="1" customWidth="1"/>
    <col min="15" max="15" width="17.421875" style="1" customWidth="1"/>
    <col min="16" max="16" width="15.57421875" style="1" customWidth="1"/>
    <col min="17" max="17" width="15.421875" style="1" customWidth="1"/>
    <col min="18" max="18" width="17.8515625" style="1" customWidth="1"/>
    <col min="19" max="19" width="17.421875" style="1" customWidth="1"/>
    <col min="20" max="20" width="17.7109375" style="1" bestFit="1" customWidth="1"/>
    <col min="21" max="21" width="16.00390625" style="1" customWidth="1"/>
    <col min="22" max="22" width="16.8515625" style="1" customWidth="1"/>
    <col min="23" max="23" width="15.421875" style="1" customWidth="1"/>
    <col min="24" max="24" width="16.57421875" style="1" customWidth="1"/>
    <col min="25" max="25" width="20.7109375" style="1" customWidth="1"/>
    <col min="26" max="26" width="9.140625" style="260" customWidth="1"/>
    <col min="27" max="27" width="10.28125" style="1" customWidth="1"/>
    <col min="28" max="28" width="19.8515625" style="238" customWidth="1"/>
    <col min="29" max="29" width="14.00390625" style="1" bestFit="1" customWidth="1"/>
    <col min="30" max="31" width="18.7109375" style="1" hidden="1" customWidth="1"/>
    <col min="32" max="32" width="9.140625" style="1" customWidth="1"/>
    <col min="33" max="33" width="14.00390625" style="1" bestFit="1" customWidth="1"/>
    <col min="34" max="16384" width="9.140625" style="1" customWidth="1"/>
  </cols>
  <sheetData>
    <row r="1" spans="1:31" ht="31.5" customHeight="1" thickBot="1">
      <c r="A1" s="389" t="s">
        <v>20</v>
      </c>
      <c r="B1" s="390"/>
      <c r="C1" s="390"/>
      <c r="D1" s="390"/>
      <c r="E1" s="391"/>
      <c r="F1" s="241">
        <v>0.717</v>
      </c>
      <c r="G1" s="262" t="s">
        <v>3</v>
      </c>
      <c r="H1" s="263">
        <v>0.717</v>
      </c>
      <c r="I1" s="264" t="s">
        <v>96</v>
      </c>
      <c r="J1" s="303"/>
      <c r="K1" s="383" t="s">
        <v>164</v>
      </c>
      <c r="L1" s="384"/>
      <c r="M1" s="384"/>
      <c r="N1" s="384"/>
      <c r="O1" s="385"/>
      <c r="P1" s="383" t="s">
        <v>165</v>
      </c>
      <c r="Q1" s="384"/>
      <c r="R1" s="384"/>
      <c r="S1" s="384"/>
      <c r="T1" s="385"/>
      <c r="U1" s="383" t="s">
        <v>166</v>
      </c>
      <c r="V1" s="384"/>
      <c r="W1" s="384"/>
      <c r="X1" s="384"/>
      <c r="Y1" s="385"/>
      <c r="Z1" s="241">
        <v>0.717</v>
      </c>
      <c r="AA1" s="303"/>
      <c r="AB1" s="219"/>
      <c r="AD1" s="98">
        <v>0.717</v>
      </c>
      <c r="AE1" s="115" t="s">
        <v>96</v>
      </c>
    </row>
    <row r="2" spans="1:31" ht="51.75" thickBot="1">
      <c r="A2" s="75" t="s">
        <v>15</v>
      </c>
      <c r="B2" s="9" t="s">
        <v>0</v>
      </c>
      <c r="C2" s="19" t="s">
        <v>16</v>
      </c>
      <c r="D2" s="9" t="s">
        <v>1</v>
      </c>
      <c r="E2" s="10" t="s">
        <v>4</v>
      </c>
      <c r="F2" s="221" t="s">
        <v>177</v>
      </c>
      <c r="G2" s="265" t="s">
        <v>50</v>
      </c>
      <c r="H2" s="266" t="s">
        <v>51</v>
      </c>
      <c r="I2" s="267" t="s">
        <v>52</v>
      </c>
      <c r="J2" s="304" t="s">
        <v>167</v>
      </c>
      <c r="K2" s="220" t="s">
        <v>168</v>
      </c>
      <c r="L2" s="220" t="s">
        <v>176</v>
      </c>
      <c r="M2" s="220" t="s">
        <v>169</v>
      </c>
      <c r="N2" s="220" t="s">
        <v>170</v>
      </c>
      <c r="O2" s="220" t="s">
        <v>171</v>
      </c>
      <c r="P2" s="220" t="s">
        <v>168</v>
      </c>
      <c r="Q2" s="220" t="s">
        <v>176</v>
      </c>
      <c r="R2" s="220" t="s">
        <v>169</v>
      </c>
      <c r="S2" s="220" t="s">
        <v>170</v>
      </c>
      <c r="T2" s="220" t="s">
        <v>171</v>
      </c>
      <c r="U2" s="220" t="s">
        <v>168</v>
      </c>
      <c r="V2" s="220" t="s">
        <v>176</v>
      </c>
      <c r="W2" s="220" t="s">
        <v>169</v>
      </c>
      <c r="X2" s="220" t="s">
        <v>170</v>
      </c>
      <c r="Y2" s="220" t="s">
        <v>171</v>
      </c>
      <c r="Z2" s="221" t="s">
        <v>177</v>
      </c>
      <c r="AA2" s="304" t="s">
        <v>167</v>
      </c>
      <c r="AB2" s="221" t="s">
        <v>172</v>
      </c>
      <c r="AD2" s="81" t="s">
        <v>51</v>
      </c>
      <c r="AE2" s="82" t="s">
        <v>52</v>
      </c>
    </row>
    <row r="3" spans="1:31" ht="20.25" customHeight="1">
      <c r="A3" s="7" t="s">
        <v>14</v>
      </c>
      <c r="B3" s="24"/>
      <c r="C3" s="24"/>
      <c r="D3" s="24"/>
      <c r="E3" s="25"/>
      <c r="F3" s="222"/>
      <c r="G3" s="268"/>
      <c r="H3" s="269"/>
      <c r="I3" s="294"/>
      <c r="J3" s="30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22"/>
      <c r="AA3" s="305"/>
      <c r="AB3" s="222"/>
      <c r="AD3" s="99"/>
      <c r="AE3" s="86"/>
    </row>
    <row r="4" spans="1:31" ht="15" customHeight="1">
      <c r="A4" s="6" t="s">
        <v>13</v>
      </c>
      <c r="B4" s="20"/>
      <c r="C4" s="20"/>
      <c r="D4" s="20"/>
      <c r="E4" s="26"/>
      <c r="F4" s="223"/>
      <c r="G4" s="270"/>
      <c r="H4" s="271"/>
      <c r="I4" s="295"/>
      <c r="J4" s="30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23"/>
      <c r="AA4" s="306"/>
      <c r="AB4" s="223"/>
      <c r="AD4" s="83"/>
      <c r="AE4" s="83"/>
    </row>
    <row r="5" spans="1:31" ht="15">
      <c r="A5" s="142" t="s">
        <v>132</v>
      </c>
      <c r="B5" s="131">
        <v>79358</v>
      </c>
      <c r="C5" s="132">
        <v>3</v>
      </c>
      <c r="D5" s="131">
        <f>B5*C5+18000</f>
        <v>256074</v>
      </c>
      <c r="E5" s="143">
        <f>D5</f>
        <v>256074</v>
      </c>
      <c r="F5" s="242">
        <v>61300</v>
      </c>
      <c r="G5" s="272">
        <v>42000</v>
      </c>
      <c r="H5" s="271"/>
      <c r="I5" s="295"/>
      <c r="J5" s="307" t="s">
        <v>187</v>
      </c>
      <c r="K5" s="143"/>
      <c r="L5" s="143">
        <v>96074</v>
      </c>
      <c r="M5" s="143"/>
      <c r="N5" s="143"/>
      <c r="O5" s="143">
        <f>SUM(K5:N5)</f>
        <v>96074</v>
      </c>
      <c r="P5" s="143"/>
      <c r="Q5" s="143">
        <v>80000</v>
      </c>
      <c r="R5" s="143"/>
      <c r="S5" s="143"/>
      <c r="T5" s="143">
        <f>SUM(P5:S5)</f>
        <v>80000</v>
      </c>
      <c r="U5" s="143"/>
      <c r="V5" s="143">
        <v>80000</v>
      </c>
      <c r="W5" s="143"/>
      <c r="X5" s="143"/>
      <c r="Y5" s="143">
        <f>E5-O5-T5</f>
        <v>80000</v>
      </c>
      <c r="Z5" s="242">
        <v>61300</v>
      </c>
      <c r="AA5" s="307" t="s">
        <v>187</v>
      </c>
      <c r="AB5" s="224" t="s">
        <v>173</v>
      </c>
      <c r="AD5" s="83"/>
      <c r="AE5" s="83"/>
    </row>
    <row r="6" spans="1:31" ht="15">
      <c r="A6" s="127" t="s">
        <v>83</v>
      </c>
      <c r="B6" s="144"/>
      <c r="C6" s="109"/>
      <c r="D6" s="145"/>
      <c r="E6" s="110"/>
      <c r="F6" s="243"/>
      <c r="G6" s="270"/>
      <c r="H6" s="271"/>
      <c r="I6" s="295"/>
      <c r="J6" s="307"/>
      <c r="K6" s="110"/>
      <c r="L6" s="110"/>
      <c r="M6" s="110"/>
      <c r="N6" s="110"/>
      <c r="O6" s="143"/>
      <c r="P6" s="110"/>
      <c r="Q6" s="110"/>
      <c r="R6" s="110"/>
      <c r="S6" s="110"/>
      <c r="T6" s="143"/>
      <c r="U6" s="110"/>
      <c r="V6" s="110"/>
      <c r="W6" s="110"/>
      <c r="X6" s="110"/>
      <c r="Y6" s="110"/>
      <c r="Z6" s="243"/>
      <c r="AA6" s="307"/>
      <c r="AB6" s="224"/>
      <c r="AD6" s="83"/>
      <c r="AE6" s="83"/>
    </row>
    <row r="7" spans="1:31" ht="15">
      <c r="A7" s="146" t="s">
        <v>129</v>
      </c>
      <c r="B7" s="144">
        <v>1425</v>
      </c>
      <c r="C7" s="113">
        <v>36</v>
      </c>
      <c r="D7" s="145">
        <f>B7*C7</f>
        <v>51300</v>
      </c>
      <c r="E7" s="110">
        <f>D7/$H$1</f>
        <v>71548.11715481171</v>
      </c>
      <c r="F7" s="243">
        <v>71400</v>
      </c>
      <c r="G7" s="272">
        <v>23700</v>
      </c>
      <c r="H7" s="271"/>
      <c r="I7" s="295"/>
      <c r="J7" s="307" t="s">
        <v>187</v>
      </c>
      <c r="K7" s="110"/>
      <c r="L7" s="110"/>
      <c r="M7" s="110"/>
      <c r="N7" s="110">
        <v>25000</v>
      </c>
      <c r="O7" s="143">
        <f aca="true" t="shared" si="0" ref="O7:O26">SUM(K7:N7)</f>
        <v>25000</v>
      </c>
      <c r="P7" s="110"/>
      <c r="Q7" s="110"/>
      <c r="R7" s="110"/>
      <c r="S7" s="143">
        <f aca="true" t="shared" si="1" ref="S7:S14">SUM(O7:R7)</f>
        <v>25000</v>
      </c>
      <c r="T7" s="143">
        <f aca="true" t="shared" si="2" ref="T7:T26">SUM(P7:S7)</f>
        <v>25000</v>
      </c>
      <c r="U7" s="110"/>
      <c r="V7" s="110"/>
      <c r="W7" s="110"/>
      <c r="X7" s="110">
        <v>21548.117154811713</v>
      </c>
      <c r="Y7" s="143">
        <f>E7-O7-T7</f>
        <v>21548.117154811713</v>
      </c>
      <c r="Z7" s="243">
        <v>71400</v>
      </c>
      <c r="AA7" s="307" t="s">
        <v>187</v>
      </c>
      <c r="AB7" s="224" t="s">
        <v>173</v>
      </c>
      <c r="AD7" s="83"/>
      <c r="AE7" s="83"/>
    </row>
    <row r="8" spans="1:31" ht="15">
      <c r="A8" s="146" t="s">
        <v>84</v>
      </c>
      <c r="B8" s="144">
        <v>1200</v>
      </c>
      <c r="C8" s="113">
        <v>36</v>
      </c>
      <c r="D8" s="145">
        <f>B8*C8</f>
        <v>43200</v>
      </c>
      <c r="E8" s="110">
        <f>D8/$H$1</f>
        <v>60251.0460251046</v>
      </c>
      <c r="F8" s="244">
        <v>72100</v>
      </c>
      <c r="G8" s="273"/>
      <c r="H8" s="271"/>
      <c r="I8" s="295"/>
      <c r="J8" s="307" t="s">
        <v>187</v>
      </c>
      <c r="K8" s="110"/>
      <c r="L8" s="110"/>
      <c r="M8" s="110"/>
      <c r="N8" s="110">
        <v>20800</v>
      </c>
      <c r="O8" s="143">
        <f t="shared" si="0"/>
        <v>20800</v>
      </c>
      <c r="P8" s="110"/>
      <c r="Q8" s="110"/>
      <c r="R8" s="110"/>
      <c r="S8" s="143">
        <f t="shared" si="1"/>
        <v>20800</v>
      </c>
      <c r="T8" s="143">
        <f t="shared" si="2"/>
        <v>20800</v>
      </c>
      <c r="U8" s="110"/>
      <c r="V8" s="110"/>
      <c r="W8" s="110"/>
      <c r="X8" s="110">
        <v>18651.046025104602</v>
      </c>
      <c r="Y8" s="143">
        <f>E8-O8-T8</f>
        <v>18651.046025104602</v>
      </c>
      <c r="Z8" s="244">
        <v>72100</v>
      </c>
      <c r="AA8" s="307" t="s">
        <v>187</v>
      </c>
      <c r="AB8" s="224" t="s">
        <v>173</v>
      </c>
      <c r="AC8" s="1" t="s">
        <v>174</v>
      </c>
      <c r="AD8" s="83"/>
      <c r="AE8" s="83"/>
    </row>
    <row r="9" spans="1:31" ht="15">
      <c r="A9" s="146" t="s">
        <v>85</v>
      </c>
      <c r="B9" s="144">
        <f>200+50</f>
        <v>250</v>
      </c>
      <c r="C9" s="113">
        <v>36</v>
      </c>
      <c r="D9" s="145">
        <f>B9*C9</f>
        <v>9000</v>
      </c>
      <c r="E9" s="110">
        <f>D9/$H$1</f>
        <v>12552.301255230126</v>
      </c>
      <c r="F9" s="243">
        <v>71300</v>
      </c>
      <c r="G9" s="273"/>
      <c r="H9" s="271"/>
      <c r="I9" s="295"/>
      <c r="J9" s="307" t="s">
        <v>187</v>
      </c>
      <c r="K9" s="110"/>
      <c r="L9" s="110"/>
      <c r="M9" s="110"/>
      <c r="N9" s="110">
        <v>4350</v>
      </c>
      <c r="O9" s="143">
        <f t="shared" si="0"/>
        <v>4350</v>
      </c>
      <c r="P9" s="110"/>
      <c r="Q9" s="110"/>
      <c r="R9" s="110"/>
      <c r="S9" s="143">
        <f t="shared" si="1"/>
        <v>4350</v>
      </c>
      <c r="T9" s="143">
        <f t="shared" si="2"/>
        <v>4350</v>
      </c>
      <c r="U9" s="110"/>
      <c r="V9" s="110"/>
      <c r="W9" s="110"/>
      <c r="X9" s="110">
        <v>3852.301255230126</v>
      </c>
      <c r="Y9" s="143">
        <f>E9-O9-T9</f>
        <v>3852.301255230126</v>
      </c>
      <c r="Z9" s="243">
        <v>71300</v>
      </c>
      <c r="AA9" s="307" t="s">
        <v>187</v>
      </c>
      <c r="AB9" s="224" t="s">
        <v>173</v>
      </c>
      <c r="AC9" s="1" t="s">
        <v>175</v>
      </c>
      <c r="AD9" s="83"/>
      <c r="AE9" s="83"/>
    </row>
    <row r="10" spans="1:31" ht="15">
      <c r="A10" s="146" t="s">
        <v>86</v>
      </c>
      <c r="B10" s="144">
        <v>500</v>
      </c>
      <c r="C10" s="113">
        <v>36</v>
      </c>
      <c r="D10" s="145">
        <f>B10*C10</f>
        <v>18000</v>
      </c>
      <c r="E10" s="110">
        <f>D10/$H$1</f>
        <v>25104.602510460252</v>
      </c>
      <c r="F10" s="243">
        <v>71300</v>
      </c>
      <c r="G10" s="270"/>
      <c r="H10" s="271"/>
      <c r="I10" s="295"/>
      <c r="J10" s="307" t="s">
        <v>187</v>
      </c>
      <c r="K10" s="110"/>
      <c r="L10" s="110"/>
      <c r="M10" s="110"/>
      <c r="N10" s="110">
        <v>8650</v>
      </c>
      <c r="O10" s="143">
        <f t="shared" si="0"/>
        <v>8650</v>
      </c>
      <c r="P10" s="110"/>
      <c r="Q10" s="110"/>
      <c r="R10" s="110"/>
      <c r="S10" s="143">
        <f t="shared" si="1"/>
        <v>8650</v>
      </c>
      <c r="T10" s="143">
        <f t="shared" si="2"/>
        <v>8650</v>
      </c>
      <c r="U10" s="110"/>
      <c r="V10" s="110"/>
      <c r="W10" s="110"/>
      <c r="X10" s="110">
        <v>7804.602510460252</v>
      </c>
      <c r="Y10" s="143">
        <f>E10-O10-T10</f>
        <v>7804.602510460252</v>
      </c>
      <c r="Z10" s="243">
        <v>71300</v>
      </c>
      <c r="AA10" s="307" t="s">
        <v>187</v>
      </c>
      <c r="AB10" s="224" t="s">
        <v>173</v>
      </c>
      <c r="AC10" s="1" t="s">
        <v>175</v>
      </c>
      <c r="AD10" s="83"/>
      <c r="AE10" s="83"/>
    </row>
    <row r="11" spans="1:31" ht="25.5">
      <c r="A11" s="120" t="s">
        <v>130</v>
      </c>
      <c r="B11" s="144">
        <v>1425</v>
      </c>
      <c r="C11" s="109">
        <v>36</v>
      </c>
      <c r="D11" s="145">
        <f>B11*C11</f>
        <v>51300</v>
      </c>
      <c r="E11" s="110">
        <f>D11/$H$1</f>
        <v>71548.11715481171</v>
      </c>
      <c r="F11" s="243">
        <v>71400</v>
      </c>
      <c r="G11" s="270"/>
      <c r="H11" s="271"/>
      <c r="I11" s="295"/>
      <c r="J11" s="307" t="s">
        <v>187</v>
      </c>
      <c r="K11" s="110"/>
      <c r="L11" s="110"/>
      <c r="M11" s="110"/>
      <c r="N11" s="110">
        <v>25000</v>
      </c>
      <c r="O11" s="143">
        <f t="shared" si="0"/>
        <v>25000</v>
      </c>
      <c r="P11" s="110"/>
      <c r="Q11" s="110"/>
      <c r="R11" s="110"/>
      <c r="S11" s="143">
        <f t="shared" si="1"/>
        <v>25000</v>
      </c>
      <c r="T11" s="143">
        <f t="shared" si="2"/>
        <v>25000</v>
      </c>
      <c r="U11" s="110"/>
      <c r="V11" s="110"/>
      <c r="W11" s="110"/>
      <c r="X11" s="110">
        <v>21548.117154811713</v>
      </c>
      <c r="Y11" s="143">
        <f>E11-O11-T11</f>
        <v>21548.117154811713</v>
      </c>
      <c r="Z11" s="243">
        <v>71400</v>
      </c>
      <c r="AA11" s="307" t="s">
        <v>187</v>
      </c>
      <c r="AB11" s="224" t="s">
        <v>173</v>
      </c>
      <c r="AD11" s="83"/>
      <c r="AE11" s="83"/>
    </row>
    <row r="12" spans="1:31" ht="15">
      <c r="A12" s="127" t="s">
        <v>87</v>
      </c>
      <c r="B12" s="144"/>
      <c r="C12" s="109"/>
      <c r="D12" s="145"/>
      <c r="E12" s="110"/>
      <c r="F12" s="243"/>
      <c r="G12" s="270"/>
      <c r="H12" s="271"/>
      <c r="I12" s="295"/>
      <c r="J12" s="307" t="s">
        <v>187</v>
      </c>
      <c r="K12" s="110"/>
      <c r="L12" s="110"/>
      <c r="M12" s="110"/>
      <c r="O12" s="143"/>
      <c r="P12" s="110"/>
      <c r="Q12" s="110"/>
      <c r="R12" s="110"/>
      <c r="S12" s="143"/>
      <c r="T12" s="143"/>
      <c r="U12" s="110"/>
      <c r="V12" s="110"/>
      <c r="W12" s="110"/>
      <c r="X12" s="110"/>
      <c r="Y12" s="110"/>
      <c r="Z12" s="243"/>
      <c r="AA12" s="307" t="s">
        <v>187</v>
      </c>
      <c r="AB12" s="224" t="s">
        <v>173</v>
      </c>
      <c r="AD12" s="83"/>
      <c r="AE12" s="83"/>
    </row>
    <row r="13" spans="1:31" ht="15">
      <c r="A13" s="146" t="s">
        <v>88</v>
      </c>
      <c r="B13" s="108">
        <v>30000</v>
      </c>
      <c r="C13" s="109">
        <v>3</v>
      </c>
      <c r="D13" s="126">
        <f>B13*C13</f>
        <v>90000</v>
      </c>
      <c r="E13" s="110">
        <f>D13</f>
        <v>90000</v>
      </c>
      <c r="F13" s="243">
        <v>71600</v>
      </c>
      <c r="G13" s="270"/>
      <c r="H13" s="271"/>
      <c r="I13" s="295"/>
      <c r="J13" s="307" t="s">
        <v>187</v>
      </c>
      <c r="K13" s="110"/>
      <c r="L13" s="110"/>
      <c r="M13" s="110"/>
      <c r="N13" s="110">
        <v>20000</v>
      </c>
      <c r="O13" s="143">
        <f t="shared" si="0"/>
        <v>20000</v>
      </c>
      <c r="P13" s="110"/>
      <c r="Q13" s="110"/>
      <c r="R13" s="110"/>
      <c r="S13" s="143">
        <f t="shared" si="1"/>
        <v>20000</v>
      </c>
      <c r="T13" s="143">
        <f t="shared" si="2"/>
        <v>20000</v>
      </c>
      <c r="U13" s="110"/>
      <c r="V13" s="110"/>
      <c r="W13" s="110"/>
      <c r="X13" s="110">
        <v>27000</v>
      </c>
      <c r="Y13" s="143">
        <f>E13-O13-T13</f>
        <v>50000</v>
      </c>
      <c r="Z13" s="243">
        <v>71600</v>
      </c>
      <c r="AA13" s="307" t="s">
        <v>187</v>
      </c>
      <c r="AB13" s="224" t="s">
        <v>173</v>
      </c>
      <c r="AD13" s="83"/>
      <c r="AE13" s="83"/>
    </row>
    <row r="14" spans="1:31" ht="15">
      <c r="A14" s="146" t="s">
        <v>88</v>
      </c>
      <c r="B14" s="108"/>
      <c r="C14" s="109"/>
      <c r="D14" s="126"/>
      <c r="E14" s="110"/>
      <c r="F14" s="243">
        <v>71600</v>
      </c>
      <c r="G14" s="270"/>
      <c r="H14" s="271"/>
      <c r="I14" s="295"/>
      <c r="J14" s="307" t="s">
        <v>52</v>
      </c>
      <c r="K14" s="110"/>
      <c r="L14" s="110"/>
      <c r="M14" s="110"/>
      <c r="N14" s="110">
        <v>10000</v>
      </c>
      <c r="O14" s="143">
        <f t="shared" si="0"/>
        <v>10000</v>
      </c>
      <c r="P14" s="110"/>
      <c r="Q14" s="110"/>
      <c r="R14" s="110"/>
      <c r="S14" s="143">
        <f t="shared" si="1"/>
        <v>10000</v>
      </c>
      <c r="T14" s="143">
        <f t="shared" si="2"/>
        <v>10000</v>
      </c>
      <c r="U14" s="110"/>
      <c r="V14" s="110"/>
      <c r="W14" s="110"/>
      <c r="X14" s="110">
        <v>3000</v>
      </c>
      <c r="Y14" s="143">
        <f>E14-O14-T14</f>
        <v>-20000</v>
      </c>
      <c r="Z14" s="243">
        <v>71600</v>
      </c>
      <c r="AA14" s="307" t="s">
        <v>52</v>
      </c>
      <c r="AB14" s="224"/>
      <c r="AD14" s="83"/>
      <c r="AE14" s="83"/>
    </row>
    <row r="15" spans="1:31" ht="15">
      <c r="A15" s="127" t="s">
        <v>89</v>
      </c>
      <c r="B15" s="108"/>
      <c r="C15" s="109"/>
      <c r="D15" s="126"/>
      <c r="E15" s="110"/>
      <c r="F15" s="243"/>
      <c r="G15" s="270"/>
      <c r="H15" s="271"/>
      <c r="I15" s="295"/>
      <c r="J15" s="307"/>
      <c r="K15" s="110"/>
      <c r="L15" s="110"/>
      <c r="M15" s="110"/>
      <c r="N15" s="87"/>
      <c r="O15" s="143"/>
      <c r="P15" s="110"/>
      <c r="Q15" s="110"/>
      <c r="R15" s="110"/>
      <c r="S15" s="143"/>
      <c r="T15" s="143"/>
      <c r="U15" s="110"/>
      <c r="V15" s="110"/>
      <c r="W15" s="110"/>
      <c r="X15" s="110"/>
      <c r="Y15" s="110"/>
      <c r="Z15" s="243"/>
      <c r="AA15" s="307"/>
      <c r="AB15" s="224" t="s">
        <v>173</v>
      </c>
      <c r="AD15" s="83"/>
      <c r="AE15" s="83"/>
    </row>
    <row r="16" spans="1:31" ht="15">
      <c r="A16" s="120" t="s">
        <v>205</v>
      </c>
      <c r="B16" s="108">
        <v>34000</v>
      </c>
      <c r="C16" s="109" t="s">
        <v>2</v>
      </c>
      <c r="D16" s="108">
        <v>34000</v>
      </c>
      <c r="E16" s="110">
        <f aca="true" t="shared" si="3" ref="E16:E24">D16</f>
        <v>34000</v>
      </c>
      <c r="F16" s="243">
        <v>72200</v>
      </c>
      <c r="G16" s="272">
        <v>15000</v>
      </c>
      <c r="H16" s="274">
        <v>12000</v>
      </c>
      <c r="I16" s="296">
        <v>20000</v>
      </c>
      <c r="J16" s="307" t="s">
        <v>187</v>
      </c>
      <c r="K16" s="110">
        <v>21500</v>
      </c>
      <c r="L16" s="110"/>
      <c r="M16" s="110"/>
      <c r="N16" s="110">
        <v>12500</v>
      </c>
      <c r="O16" s="143">
        <f t="shared" si="0"/>
        <v>34000</v>
      </c>
      <c r="P16" s="110"/>
      <c r="Q16" s="110"/>
      <c r="R16" s="110"/>
      <c r="S16" s="143"/>
      <c r="T16" s="143">
        <f t="shared" si="2"/>
        <v>0</v>
      </c>
      <c r="U16" s="110"/>
      <c r="V16" s="110"/>
      <c r="W16" s="110"/>
      <c r="X16" s="110"/>
      <c r="Y16" s="143">
        <f>E16-O16-T16</f>
        <v>0</v>
      </c>
      <c r="Z16" s="243">
        <v>72200</v>
      </c>
      <c r="AA16" s="307" t="s">
        <v>187</v>
      </c>
      <c r="AB16" s="224" t="s">
        <v>173</v>
      </c>
      <c r="AD16" s="17">
        <v>12000</v>
      </c>
      <c r="AE16" s="17">
        <v>20000</v>
      </c>
    </row>
    <row r="17" spans="1:31" ht="15">
      <c r="A17" s="128" t="s">
        <v>206</v>
      </c>
      <c r="B17" s="108">
        <v>14000</v>
      </c>
      <c r="C17" s="129">
        <v>1</v>
      </c>
      <c r="D17" s="126">
        <f>B17*C17</f>
        <v>14000</v>
      </c>
      <c r="E17" s="110">
        <f>D17</f>
        <v>14000</v>
      </c>
      <c r="F17" s="243">
        <v>72200</v>
      </c>
      <c r="G17" s="272"/>
      <c r="H17" s="274"/>
      <c r="I17" s="296"/>
      <c r="J17" s="307" t="s">
        <v>52</v>
      </c>
      <c r="K17" s="110"/>
      <c r="L17" s="110"/>
      <c r="M17" s="110"/>
      <c r="N17" s="110">
        <v>14000</v>
      </c>
      <c r="O17" s="143">
        <f t="shared" si="0"/>
        <v>14000</v>
      </c>
      <c r="P17" s="110"/>
      <c r="Q17" s="110"/>
      <c r="R17" s="110"/>
      <c r="S17" s="143"/>
      <c r="T17" s="143">
        <f t="shared" si="2"/>
        <v>0</v>
      </c>
      <c r="U17" s="110"/>
      <c r="V17" s="110"/>
      <c r="W17" s="110"/>
      <c r="X17" s="110"/>
      <c r="Y17" s="143">
        <f>E17-O17-T17</f>
        <v>0</v>
      </c>
      <c r="Z17" s="243">
        <v>72200</v>
      </c>
      <c r="AA17" s="307" t="s">
        <v>52</v>
      </c>
      <c r="AB17" s="224" t="s">
        <v>173</v>
      </c>
      <c r="AD17" s="17">
        <v>12000</v>
      </c>
      <c r="AE17" s="17">
        <v>20000</v>
      </c>
    </row>
    <row r="18" spans="1:31" ht="25.5">
      <c r="A18" s="130" t="s">
        <v>90</v>
      </c>
      <c r="B18" s="114">
        <v>850</v>
      </c>
      <c r="C18" s="113">
        <v>36</v>
      </c>
      <c r="D18" s="126">
        <f>B18*C18</f>
        <v>30600</v>
      </c>
      <c r="E18" s="110">
        <f>D18-E19</f>
        <v>24350</v>
      </c>
      <c r="F18" s="243">
        <v>73400</v>
      </c>
      <c r="G18" s="270"/>
      <c r="H18" s="274"/>
      <c r="I18" s="295"/>
      <c r="J18" s="307" t="s">
        <v>187</v>
      </c>
      <c r="K18" s="110">
        <v>8000</v>
      </c>
      <c r="L18" s="110"/>
      <c r="M18" s="110"/>
      <c r="N18" s="110"/>
      <c r="O18" s="143">
        <f t="shared" si="0"/>
        <v>8000</v>
      </c>
      <c r="P18" s="143">
        <v>8150</v>
      </c>
      <c r="Q18" s="110"/>
      <c r="R18" s="110"/>
      <c r="S18" s="143"/>
      <c r="T18" s="143">
        <f t="shared" si="2"/>
        <v>8150</v>
      </c>
      <c r="U18" s="143">
        <v>8200</v>
      </c>
      <c r="V18" s="110"/>
      <c r="W18" s="110"/>
      <c r="X18" s="143"/>
      <c r="Y18" s="143">
        <f aca="true" t="shared" si="4" ref="Y18:Y24">E18-O18-T18</f>
        <v>8200</v>
      </c>
      <c r="Z18" s="243">
        <v>73400</v>
      </c>
      <c r="AA18" s="307" t="s">
        <v>187</v>
      </c>
      <c r="AB18" s="224" t="s">
        <v>173</v>
      </c>
      <c r="AD18" s="17"/>
      <c r="AE18" s="83"/>
    </row>
    <row r="19" spans="1:31" ht="25.5">
      <c r="A19" s="130" t="s">
        <v>90</v>
      </c>
      <c r="B19" s="114">
        <v>6250</v>
      </c>
      <c r="C19" s="113" t="s">
        <v>2</v>
      </c>
      <c r="D19" s="114">
        <v>6250</v>
      </c>
      <c r="E19" s="110">
        <f t="shared" si="3"/>
        <v>6250</v>
      </c>
      <c r="F19" s="243">
        <v>73400</v>
      </c>
      <c r="G19" s="270"/>
      <c r="H19" s="274"/>
      <c r="I19" s="295"/>
      <c r="J19" s="307" t="s">
        <v>52</v>
      </c>
      <c r="K19" s="110">
        <v>2200</v>
      </c>
      <c r="L19" s="110"/>
      <c r="M19" s="110"/>
      <c r="N19" s="110"/>
      <c r="O19" s="143">
        <f t="shared" si="0"/>
        <v>2200</v>
      </c>
      <c r="P19" s="143">
        <v>2050</v>
      </c>
      <c r="Q19" s="110"/>
      <c r="R19" s="110"/>
      <c r="S19" s="143"/>
      <c r="T19" s="143">
        <f t="shared" si="2"/>
        <v>2050</v>
      </c>
      <c r="U19" s="143">
        <v>2000</v>
      </c>
      <c r="V19" s="110"/>
      <c r="W19" s="110"/>
      <c r="X19" s="143"/>
      <c r="Y19" s="143">
        <f t="shared" si="4"/>
        <v>2000</v>
      </c>
      <c r="Z19" s="243">
        <v>73400</v>
      </c>
      <c r="AA19" s="307" t="s">
        <v>52</v>
      </c>
      <c r="AB19" s="224" t="s">
        <v>173</v>
      </c>
      <c r="AD19" s="17"/>
      <c r="AE19" s="83"/>
    </row>
    <row r="20" spans="1:31" ht="15">
      <c r="A20" s="130" t="s">
        <v>91</v>
      </c>
      <c r="B20" s="114">
        <v>1550</v>
      </c>
      <c r="C20" s="113">
        <v>36</v>
      </c>
      <c r="D20" s="126">
        <f>B20*C20</f>
        <v>55800</v>
      </c>
      <c r="E20" s="110">
        <f t="shared" si="3"/>
        <v>55800</v>
      </c>
      <c r="F20" s="243">
        <v>73100</v>
      </c>
      <c r="G20" s="270"/>
      <c r="H20" s="274">
        <v>24000</v>
      </c>
      <c r="I20" s="296">
        <v>14000</v>
      </c>
      <c r="J20" s="307" t="s">
        <v>187</v>
      </c>
      <c r="K20" s="110"/>
      <c r="L20" s="110"/>
      <c r="M20" s="110"/>
      <c r="N20" s="110">
        <v>18600</v>
      </c>
      <c r="O20" s="143">
        <f t="shared" si="0"/>
        <v>18600</v>
      </c>
      <c r="P20" s="110"/>
      <c r="Q20" s="110"/>
      <c r="R20" s="110"/>
      <c r="S20" s="110">
        <v>18600</v>
      </c>
      <c r="T20" s="143">
        <f t="shared" si="2"/>
        <v>18600</v>
      </c>
      <c r="U20" s="110"/>
      <c r="V20" s="110"/>
      <c r="W20" s="110"/>
      <c r="X20" s="110">
        <v>18600</v>
      </c>
      <c r="Y20" s="143">
        <f t="shared" si="4"/>
        <v>18600</v>
      </c>
      <c r="Z20" s="243">
        <v>73100</v>
      </c>
      <c r="AA20" s="307" t="s">
        <v>187</v>
      </c>
      <c r="AB20" s="224" t="s">
        <v>173</v>
      </c>
      <c r="AD20" s="17">
        <v>24000</v>
      </c>
      <c r="AE20" s="17">
        <v>14000</v>
      </c>
    </row>
    <row r="21" spans="1:31" ht="25.5">
      <c r="A21" s="130" t="s">
        <v>92</v>
      </c>
      <c r="B21" s="114">
        <v>41800</v>
      </c>
      <c r="C21" s="113" t="s">
        <v>2</v>
      </c>
      <c r="D21" s="126">
        <f>B21</f>
        <v>41800</v>
      </c>
      <c r="E21" s="110">
        <f t="shared" si="3"/>
        <v>41800</v>
      </c>
      <c r="F21" s="243">
        <v>72800</v>
      </c>
      <c r="G21" s="270"/>
      <c r="H21" s="274">
        <f>36*200</f>
        <v>7200</v>
      </c>
      <c r="I21" s="296">
        <v>18000</v>
      </c>
      <c r="J21" s="307" t="s">
        <v>187</v>
      </c>
      <c r="K21" s="110">
        <v>25500</v>
      </c>
      <c r="L21" s="110"/>
      <c r="M21" s="110"/>
      <c r="N21" s="110">
        <v>16300</v>
      </c>
      <c r="O21" s="143">
        <f t="shared" si="0"/>
        <v>41800</v>
      </c>
      <c r="P21" s="110"/>
      <c r="Q21" s="110"/>
      <c r="R21" s="110"/>
      <c r="S21" s="110"/>
      <c r="T21" s="143">
        <f t="shared" si="2"/>
        <v>0</v>
      </c>
      <c r="U21" s="110"/>
      <c r="V21" s="110"/>
      <c r="W21" s="110"/>
      <c r="X21" s="110"/>
      <c r="Y21" s="143">
        <f t="shared" si="4"/>
        <v>0</v>
      </c>
      <c r="Z21" s="243">
        <v>72800</v>
      </c>
      <c r="AA21" s="307" t="s">
        <v>187</v>
      </c>
      <c r="AB21" s="224" t="s">
        <v>173</v>
      </c>
      <c r="AD21" s="17">
        <f>36*200</f>
        <v>7200</v>
      </c>
      <c r="AE21" s="17">
        <v>18000</v>
      </c>
    </row>
    <row r="22" spans="1:31" ht="15">
      <c r="A22" s="130" t="s">
        <v>93</v>
      </c>
      <c r="B22" s="114">
        <v>650</v>
      </c>
      <c r="C22" s="113">
        <v>36</v>
      </c>
      <c r="D22" s="126">
        <f>B22*C22</f>
        <v>23400</v>
      </c>
      <c r="E22" s="110">
        <f t="shared" si="3"/>
        <v>23400</v>
      </c>
      <c r="F22" s="243">
        <v>73100</v>
      </c>
      <c r="G22" s="272">
        <v>9000</v>
      </c>
      <c r="H22" s="274"/>
      <c r="I22" s="295"/>
      <c r="J22" s="307" t="s">
        <v>187</v>
      </c>
      <c r="K22" s="110"/>
      <c r="L22" s="110"/>
      <c r="M22" s="110"/>
      <c r="N22" s="110">
        <v>7800</v>
      </c>
      <c r="O22" s="143">
        <f t="shared" si="0"/>
        <v>7800</v>
      </c>
      <c r="P22" s="110"/>
      <c r="Q22" s="110"/>
      <c r="R22" s="110"/>
      <c r="S22" s="110">
        <v>7800</v>
      </c>
      <c r="T22" s="143">
        <f t="shared" si="2"/>
        <v>7800</v>
      </c>
      <c r="U22" s="110"/>
      <c r="V22" s="110"/>
      <c r="W22" s="110"/>
      <c r="X22" s="110">
        <v>7800</v>
      </c>
      <c r="Y22" s="143">
        <f t="shared" si="4"/>
        <v>7800</v>
      </c>
      <c r="Z22" s="243">
        <v>73100</v>
      </c>
      <c r="AA22" s="307" t="s">
        <v>187</v>
      </c>
      <c r="AB22" s="224" t="s">
        <v>173</v>
      </c>
      <c r="AD22" s="17"/>
      <c r="AE22" s="83"/>
    </row>
    <row r="23" spans="1:31" ht="15">
      <c r="A23" s="130" t="s">
        <v>94</v>
      </c>
      <c r="B23" s="114">
        <v>60000</v>
      </c>
      <c r="C23" s="113" t="s">
        <v>2</v>
      </c>
      <c r="D23" s="126">
        <f>B23</f>
        <v>60000</v>
      </c>
      <c r="E23" s="110">
        <f t="shared" si="3"/>
        <v>60000</v>
      </c>
      <c r="F23" s="243">
        <v>74200</v>
      </c>
      <c r="G23" s="272">
        <v>10000</v>
      </c>
      <c r="H23" s="274">
        <v>4000</v>
      </c>
      <c r="I23" s="295"/>
      <c r="J23" s="307" t="s">
        <v>187</v>
      </c>
      <c r="K23" s="110"/>
      <c r="L23" s="110"/>
      <c r="M23" s="110"/>
      <c r="N23" s="110">
        <v>20000</v>
      </c>
      <c r="O23" s="143">
        <f t="shared" si="0"/>
        <v>20000</v>
      </c>
      <c r="P23" s="110"/>
      <c r="Q23" s="110"/>
      <c r="R23" s="110"/>
      <c r="S23" s="110">
        <v>20000</v>
      </c>
      <c r="T23" s="143">
        <f t="shared" si="2"/>
        <v>20000</v>
      </c>
      <c r="U23" s="110"/>
      <c r="V23" s="110"/>
      <c r="W23" s="110"/>
      <c r="X23" s="110">
        <v>20000</v>
      </c>
      <c r="Y23" s="143">
        <f t="shared" si="4"/>
        <v>20000</v>
      </c>
      <c r="Z23" s="243">
        <v>74200</v>
      </c>
      <c r="AA23" s="307" t="s">
        <v>187</v>
      </c>
      <c r="AB23" s="224" t="s">
        <v>173</v>
      </c>
      <c r="AD23" s="17">
        <v>4000</v>
      </c>
      <c r="AE23" s="83"/>
    </row>
    <row r="24" spans="1:31" ht="15">
      <c r="A24" s="130" t="s">
        <v>95</v>
      </c>
      <c r="B24" s="114">
        <v>75000</v>
      </c>
      <c r="C24" s="113" t="s">
        <v>2</v>
      </c>
      <c r="D24" s="136">
        <f>B24</f>
        <v>75000</v>
      </c>
      <c r="E24" s="121">
        <f t="shared" si="3"/>
        <v>75000</v>
      </c>
      <c r="F24" s="245">
        <v>74100</v>
      </c>
      <c r="G24" s="272">
        <v>10000</v>
      </c>
      <c r="H24" s="271"/>
      <c r="I24" s="295"/>
      <c r="J24" s="307" t="s">
        <v>187</v>
      </c>
      <c r="K24" s="121"/>
      <c r="L24" s="121">
        <v>15000</v>
      </c>
      <c r="M24" s="121"/>
      <c r="N24" s="121"/>
      <c r="O24" s="143">
        <f t="shared" si="0"/>
        <v>15000</v>
      </c>
      <c r="P24" s="121"/>
      <c r="Q24" s="121">
        <v>30000</v>
      </c>
      <c r="R24" s="121"/>
      <c r="S24" s="121"/>
      <c r="T24" s="143">
        <f t="shared" si="2"/>
        <v>30000</v>
      </c>
      <c r="U24" s="121"/>
      <c r="V24" s="121">
        <v>30000</v>
      </c>
      <c r="W24" s="121"/>
      <c r="X24" s="121"/>
      <c r="Y24" s="143">
        <f t="shared" si="4"/>
        <v>30000</v>
      </c>
      <c r="Z24" s="245">
        <v>74100</v>
      </c>
      <c r="AA24" s="307" t="s">
        <v>187</v>
      </c>
      <c r="AB24" s="224" t="s">
        <v>176</v>
      </c>
      <c r="AD24" s="83"/>
      <c r="AE24" s="83"/>
    </row>
    <row r="25" spans="1:31" ht="15">
      <c r="A25" s="29" t="s">
        <v>17</v>
      </c>
      <c r="B25" s="17"/>
      <c r="C25" s="13"/>
      <c r="D25" s="17"/>
      <c r="E25" s="33">
        <f>SUM(E5:E24)</f>
        <v>921678.1841004185</v>
      </c>
      <c r="F25" s="246"/>
      <c r="G25" s="275">
        <f>SUM(G5:G24)</f>
        <v>109700</v>
      </c>
      <c r="H25" s="276">
        <f>SUM(H5:H24)</f>
        <v>47200</v>
      </c>
      <c r="I25" s="297">
        <f>SUM(I5:I24)</f>
        <v>52000</v>
      </c>
      <c r="J25" s="310"/>
      <c r="K25" s="33"/>
      <c r="L25" s="33"/>
      <c r="M25" s="33"/>
      <c r="N25" s="33"/>
      <c r="O25" s="143"/>
      <c r="P25" s="33"/>
      <c r="Q25" s="33"/>
      <c r="R25" s="33"/>
      <c r="S25" s="33"/>
      <c r="T25" s="143"/>
      <c r="U25" s="33"/>
      <c r="V25" s="33"/>
      <c r="W25" s="33"/>
      <c r="X25" s="33"/>
      <c r="Y25" s="33"/>
      <c r="Z25" s="246"/>
      <c r="AA25" s="310"/>
      <c r="AB25" s="225"/>
      <c r="AD25" s="83"/>
      <c r="AE25" s="17"/>
    </row>
    <row r="26" spans="1:31" ht="15">
      <c r="A26" s="27" t="s">
        <v>18</v>
      </c>
      <c r="B26" s="17"/>
      <c r="C26" s="13"/>
      <c r="D26" s="17"/>
      <c r="E26" s="14">
        <f>(E25-G25)*7%</f>
        <v>56838.4728870293</v>
      </c>
      <c r="F26" s="247"/>
      <c r="G26" s="272"/>
      <c r="H26" s="274">
        <f>H25*7%</f>
        <v>3304.0000000000005</v>
      </c>
      <c r="I26" s="296">
        <f>I25*7%</f>
        <v>3640.0000000000005</v>
      </c>
      <c r="J26" s="311"/>
      <c r="K26" s="14"/>
      <c r="L26" s="14">
        <f>SUM(L5:L24)*8.0707%</f>
        <v>8964.449318</v>
      </c>
      <c r="M26" s="14">
        <f>SUM(M5:M24)*8.0707%</f>
        <v>0</v>
      </c>
      <c r="N26" s="14">
        <f>SUM(N5:N24)*8.0707%</f>
        <v>16383.521</v>
      </c>
      <c r="O26" s="143">
        <f t="shared" si="0"/>
        <v>25347.970318</v>
      </c>
      <c r="P26" s="14"/>
      <c r="Q26" s="14">
        <f>SUM(Q5:Q24)*8.0707%</f>
        <v>8877.77</v>
      </c>
      <c r="R26" s="14">
        <f>SUM(R5:R24)*8.0707%</f>
        <v>0</v>
      </c>
      <c r="S26" s="14">
        <f>SUM(S5:S24)*8.0707%</f>
        <v>12929.2614</v>
      </c>
      <c r="T26" s="143">
        <f t="shared" si="2"/>
        <v>21807.0314</v>
      </c>
      <c r="U26" s="14"/>
      <c r="V26" s="14">
        <f>SUM(V5:V24)*8.0707%</f>
        <v>8877.77</v>
      </c>
      <c r="W26" s="14">
        <f>SUM(W5:W24)*8.0707%</f>
        <v>0</v>
      </c>
      <c r="X26" s="14">
        <f>SUM(X5:X24)*8.0707%</f>
        <v>12090.246286192469</v>
      </c>
      <c r="Y26" s="14">
        <f>SUM(V26:X26)</f>
        <v>20968.01628619247</v>
      </c>
      <c r="Z26" s="247"/>
      <c r="AA26" s="311"/>
      <c r="AB26" s="226"/>
      <c r="AD26" s="83"/>
      <c r="AE26" s="83"/>
    </row>
    <row r="27" spans="1:31" ht="15.75" thickBot="1">
      <c r="A27" s="28" t="s">
        <v>19</v>
      </c>
      <c r="B27" s="31"/>
      <c r="C27" s="32"/>
      <c r="D27" s="31"/>
      <c r="E27" s="34">
        <f>E25+E26</f>
        <v>978516.6569874478</v>
      </c>
      <c r="F27" s="248"/>
      <c r="G27" s="277">
        <f>G25+G26</f>
        <v>109700</v>
      </c>
      <c r="H27" s="278">
        <f>H25+H26</f>
        <v>50504</v>
      </c>
      <c r="I27" s="298">
        <f>I25+I26</f>
        <v>55640</v>
      </c>
      <c r="J27" s="312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248"/>
      <c r="AA27" s="312"/>
      <c r="AB27" s="227"/>
      <c r="AD27" s="84">
        <f>SUM(AD5:AD26)</f>
        <v>59200</v>
      </c>
      <c r="AE27" s="84">
        <f>SUM(AE5:AE26)</f>
        <v>72000</v>
      </c>
    </row>
    <row r="28" spans="1:31" ht="15.75" thickTop="1">
      <c r="A28" s="8" t="s">
        <v>68</v>
      </c>
      <c r="B28" s="11"/>
      <c r="C28" s="12"/>
      <c r="D28" s="11"/>
      <c r="E28" s="30"/>
      <c r="F28" s="249"/>
      <c r="G28" s="279"/>
      <c r="H28" s="280"/>
      <c r="I28" s="299"/>
      <c r="J28" s="313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249"/>
      <c r="AA28" s="313"/>
      <c r="AB28" s="228"/>
      <c r="AD28" s="17">
        <f>AD27*7%</f>
        <v>4144</v>
      </c>
      <c r="AE28" s="17">
        <f>AE27*7%</f>
        <v>5040.000000000001</v>
      </c>
    </row>
    <row r="29" spans="1:31" ht="15.75" thickBot="1">
      <c r="A29" s="35" t="s">
        <v>21</v>
      </c>
      <c r="B29" s="17"/>
      <c r="C29" s="13"/>
      <c r="D29" s="17"/>
      <c r="E29" s="14"/>
      <c r="F29" s="247"/>
      <c r="G29" s="270"/>
      <c r="H29" s="271"/>
      <c r="I29" s="295"/>
      <c r="J29" s="311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247"/>
      <c r="AA29" s="311"/>
      <c r="AB29" s="226"/>
      <c r="AD29" s="90">
        <f>AD27+AD28</f>
        <v>63344</v>
      </c>
      <c r="AE29" s="90">
        <f>AE27+AE28</f>
        <v>77040</v>
      </c>
    </row>
    <row r="30" spans="1:31" ht="20.25" customHeight="1" thickTop="1">
      <c r="A30" s="120" t="s">
        <v>22</v>
      </c>
      <c r="B30" s="126">
        <v>50000</v>
      </c>
      <c r="C30" s="109" t="s">
        <v>2</v>
      </c>
      <c r="D30" s="126">
        <v>50000</v>
      </c>
      <c r="E30" s="110">
        <f>D30</f>
        <v>50000</v>
      </c>
      <c r="F30" s="243">
        <v>72600</v>
      </c>
      <c r="G30" s="270"/>
      <c r="H30" s="271"/>
      <c r="I30" s="295"/>
      <c r="J30" s="308" t="s">
        <v>187</v>
      </c>
      <c r="K30" s="110">
        <v>7500</v>
      </c>
      <c r="L30" s="110"/>
      <c r="M30" s="110">
        <v>12500</v>
      </c>
      <c r="N30" s="110"/>
      <c r="O30" s="110">
        <f>SUM(K30:N30)</f>
        <v>20000</v>
      </c>
      <c r="P30" s="110">
        <v>20000</v>
      </c>
      <c r="Q30" s="110"/>
      <c r="R30" s="110"/>
      <c r="S30" s="110"/>
      <c r="T30" s="110">
        <f>SUM(P30:S30)</f>
        <v>20000</v>
      </c>
      <c r="U30" s="110">
        <v>10000</v>
      </c>
      <c r="V30" s="110"/>
      <c r="W30" s="110"/>
      <c r="X30" s="110"/>
      <c r="Y30" s="143">
        <f aca="true" t="shared" si="5" ref="Y30:Y37">E30-O30-T30</f>
        <v>10000</v>
      </c>
      <c r="Z30" s="243">
        <v>72600</v>
      </c>
      <c r="AA30" s="308" t="s">
        <v>187</v>
      </c>
      <c r="AB30" s="229" t="s">
        <v>207</v>
      </c>
      <c r="AD30" s="89"/>
      <c r="AE30" s="89"/>
    </row>
    <row r="31" spans="1:31" ht="26.25">
      <c r="A31" s="120" t="s">
        <v>23</v>
      </c>
      <c r="B31" s="126">
        <v>200000</v>
      </c>
      <c r="C31" s="109" t="s">
        <v>2</v>
      </c>
      <c r="D31" s="126">
        <v>200000</v>
      </c>
      <c r="E31" s="110">
        <f>D31</f>
        <v>200000</v>
      </c>
      <c r="F31" s="243">
        <v>72600</v>
      </c>
      <c r="G31" s="272">
        <v>290300</v>
      </c>
      <c r="H31" s="271"/>
      <c r="I31" s="295"/>
      <c r="J31" s="308" t="s">
        <v>187</v>
      </c>
      <c r="K31" s="110">
        <v>100000</v>
      </c>
      <c r="L31" s="110"/>
      <c r="M31" s="110"/>
      <c r="N31" s="110"/>
      <c r="O31" s="110">
        <f aca="true" t="shared" si="6" ref="O31:O37">SUM(K31:N31)</f>
        <v>100000</v>
      </c>
      <c r="P31" s="110">
        <v>100000</v>
      </c>
      <c r="Q31" s="110"/>
      <c r="R31" s="110"/>
      <c r="S31" s="110"/>
      <c r="T31" s="110">
        <f aca="true" t="shared" si="7" ref="T31:T37">SUM(P31:S31)</f>
        <v>100000</v>
      </c>
      <c r="U31" s="110"/>
      <c r="V31" s="110"/>
      <c r="W31" s="110"/>
      <c r="X31" s="110"/>
      <c r="Y31" s="143">
        <f t="shared" si="5"/>
        <v>0</v>
      </c>
      <c r="Z31" s="243">
        <v>72600</v>
      </c>
      <c r="AA31" s="308" t="s">
        <v>187</v>
      </c>
      <c r="AB31" s="229" t="s">
        <v>168</v>
      </c>
      <c r="AD31" s="83"/>
      <c r="AE31" s="83"/>
    </row>
    <row r="32" spans="1:31" ht="15">
      <c r="A32" s="120" t="s">
        <v>102</v>
      </c>
      <c r="B32" s="144">
        <v>1425</v>
      </c>
      <c r="C32" s="109">
        <v>24</v>
      </c>
      <c r="D32" s="144">
        <f>B32*C32</f>
        <v>34200</v>
      </c>
      <c r="E32" s="110">
        <f>D32/$H$1</f>
        <v>47698.74476987448</v>
      </c>
      <c r="F32" s="243">
        <v>71400</v>
      </c>
      <c r="G32" s="272"/>
      <c r="H32" s="271"/>
      <c r="I32" s="295"/>
      <c r="J32" s="308" t="s">
        <v>187</v>
      </c>
      <c r="K32" s="110">
        <f>25000-2301.26</f>
        <v>22698.739999999998</v>
      </c>
      <c r="L32" s="110"/>
      <c r="M32" s="110"/>
      <c r="N32" s="110"/>
      <c r="O32" s="110">
        <f t="shared" si="6"/>
        <v>22698.739999999998</v>
      </c>
      <c r="P32" s="110">
        <v>25000</v>
      </c>
      <c r="Q32" s="110"/>
      <c r="R32" s="110"/>
      <c r="S32" s="110"/>
      <c r="T32" s="110">
        <f t="shared" si="7"/>
        <v>25000</v>
      </c>
      <c r="U32" s="110"/>
      <c r="V32" s="110"/>
      <c r="W32" s="110"/>
      <c r="X32" s="110"/>
      <c r="Y32" s="143">
        <f t="shared" si="5"/>
        <v>0.004769874482008163</v>
      </c>
      <c r="Z32" s="243">
        <v>71400</v>
      </c>
      <c r="AA32" s="308" t="s">
        <v>187</v>
      </c>
      <c r="AB32" s="229" t="s">
        <v>168</v>
      </c>
      <c r="AD32" s="83"/>
      <c r="AE32" s="83"/>
    </row>
    <row r="33" spans="1:31" ht="15">
      <c r="A33" s="147" t="s">
        <v>24</v>
      </c>
      <c r="B33" s="108"/>
      <c r="C33" s="109"/>
      <c r="D33" s="108"/>
      <c r="E33" s="110"/>
      <c r="F33" s="243"/>
      <c r="G33" s="270"/>
      <c r="H33" s="271"/>
      <c r="I33" s="295"/>
      <c r="J33" s="308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43"/>
      <c r="Z33" s="243"/>
      <c r="AA33" s="308"/>
      <c r="AB33" s="229"/>
      <c r="AD33" s="83"/>
      <c r="AE33" s="83"/>
    </row>
    <row r="34" spans="1:31" ht="39">
      <c r="A34" s="120" t="s">
        <v>66</v>
      </c>
      <c r="B34" s="108">
        <v>20000</v>
      </c>
      <c r="C34" s="109">
        <v>2</v>
      </c>
      <c r="D34" s="108">
        <f>B34*C34</f>
        <v>40000</v>
      </c>
      <c r="E34" s="110">
        <f>D34</f>
        <v>40000</v>
      </c>
      <c r="F34" s="250" t="s">
        <v>178</v>
      </c>
      <c r="G34" s="270"/>
      <c r="H34" s="271"/>
      <c r="I34" s="295"/>
      <c r="J34" s="308" t="s">
        <v>52</v>
      </c>
      <c r="K34" s="110">
        <v>20000</v>
      </c>
      <c r="L34" s="110"/>
      <c r="M34" s="110"/>
      <c r="N34" s="110"/>
      <c r="O34" s="110">
        <f t="shared" si="6"/>
        <v>20000</v>
      </c>
      <c r="P34" s="110">
        <v>20000</v>
      </c>
      <c r="Q34" s="110"/>
      <c r="R34" s="110"/>
      <c r="S34" s="110"/>
      <c r="T34" s="110">
        <f t="shared" si="7"/>
        <v>20000</v>
      </c>
      <c r="U34" s="110"/>
      <c r="V34" s="110"/>
      <c r="W34" s="110"/>
      <c r="X34" s="110"/>
      <c r="Y34" s="143">
        <f t="shared" si="5"/>
        <v>0</v>
      </c>
      <c r="Z34" s="250" t="s">
        <v>178</v>
      </c>
      <c r="AA34" s="308" t="s">
        <v>52</v>
      </c>
      <c r="AB34" s="229" t="s">
        <v>168</v>
      </c>
      <c r="AD34" s="83"/>
      <c r="AE34" s="83"/>
    </row>
    <row r="35" spans="1:31" ht="15">
      <c r="A35" s="137" t="s">
        <v>97</v>
      </c>
      <c r="B35" s="131">
        <v>2400</v>
      </c>
      <c r="C35" s="132">
        <v>24</v>
      </c>
      <c r="D35" s="131">
        <f>B35*C35</f>
        <v>57600</v>
      </c>
      <c r="E35" s="110">
        <f>D35</f>
        <v>57600</v>
      </c>
      <c r="F35" s="243">
        <v>71400</v>
      </c>
      <c r="G35" s="270"/>
      <c r="H35" s="271"/>
      <c r="I35" s="295"/>
      <c r="J35" s="308" t="s">
        <v>52</v>
      </c>
      <c r="K35" s="110">
        <v>28800</v>
      </c>
      <c r="L35" s="110"/>
      <c r="M35" s="110"/>
      <c r="N35" s="110"/>
      <c r="O35" s="110">
        <f t="shared" si="6"/>
        <v>28800</v>
      </c>
      <c r="P35" s="110">
        <v>28800</v>
      </c>
      <c r="Q35" s="110"/>
      <c r="R35" s="110"/>
      <c r="S35" s="110"/>
      <c r="T35" s="110">
        <f t="shared" si="7"/>
        <v>28800</v>
      </c>
      <c r="U35" s="110"/>
      <c r="V35" s="110"/>
      <c r="W35" s="110"/>
      <c r="X35" s="110"/>
      <c r="Y35" s="143">
        <f t="shared" si="5"/>
        <v>0</v>
      </c>
      <c r="Z35" s="243">
        <v>71400</v>
      </c>
      <c r="AA35" s="308" t="s">
        <v>52</v>
      </c>
      <c r="AB35" s="229" t="s">
        <v>168</v>
      </c>
      <c r="AD35" s="83"/>
      <c r="AE35" s="83"/>
    </row>
    <row r="36" spans="1:31" ht="39">
      <c r="A36" s="120" t="s">
        <v>81</v>
      </c>
      <c r="B36" s="114">
        <v>60000</v>
      </c>
      <c r="C36" s="109">
        <v>2</v>
      </c>
      <c r="D36" s="108">
        <f>B36*C36</f>
        <v>120000</v>
      </c>
      <c r="E36" s="110">
        <f>D36</f>
        <v>120000</v>
      </c>
      <c r="F36" s="250" t="s">
        <v>178</v>
      </c>
      <c r="G36" s="270"/>
      <c r="H36" s="271"/>
      <c r="I36" s="295"/>
      <c r="J36" s="308" t="s">
        <v>52</v>
      </c>
      <c r="K36" s="110">
        <v>60000</v>
      </c>
      <c r="L36" s="110"/>
      <c r="M36" s="110"/>
      <c r="N36" s="110"/>
      <c r="O36" s="110">
        <f t="shared" si="6"/>
        <v>60000</v>
      </c>
      <c r="P36" s="110">
        <v>60000</v>
      </c>
      <c r="Q36" s="110"/>
      <c r="R36" s="110"/>
      <c r="S36" s="110"/>
      <c r="T36" s="110">
        <f t="shared" si="7"/>
        <v>60000</v>
      </c>
      <c r="U36" s="110"/>
      <c r="V36" s="110"/>
      <c r="W36" s="110"/>
      <c r="X36" s="110"/>
      <c r="Y36" s="143">
        <f t="shared" si="5"/>
        <v>0</v>
      </c>
      <c r="Z36" s="250" t="s">
        <v>178</v>
      </c>
      <c r="AA36" s="308" t="s">
        <v>52</v>
      </c>
      <c r="AB36" s="229" t="s">
        <v>168</v>
      </c>
      <c r="AD36" s="83"/>
      <c r="AE36" s="83"/>
    </row>
    <row r="37" spans="1:31" ht="15">
      <c r="A37" s="107" t="s">
        <v>133</v>
      </c>
      <c r="B37" s="126">
        <v>20000</v>
      </c>
      <c r="C37" s="109" t="s">
        <v>2</v>
      </c>
      <c r="D37" s="110">
        <v>20000</v>
      </c>
      <c r="E37" s="110">
        <v>20000</v>
      </c>
      <c r="F37" s="243">
        <v>74200</v>
      </c>
      <c r="G37" s="270"/>
      <c r="H37" s="271"/>
      <c r="I37" s="295"/>
      <c r="J37" s="308" t="s">
        <v>52</v>
      </c>
      <c r="K37" s="110">
        <v>15000</v>
      </c>
      <c r="L37" s="110"/>
      <c r="M37" s="110"/>
      <c r="N37" s="110"/>
      <c r="O37" s="110">
        <f t="shared" si="6"/>
        <v>15000</v>
      </c>
      <c r="P37" s="110">
        <v>5000</v>
      </c>
      <c r="Q37" s="110"/>
      <c r="R37" s="110"/>
      <c r="S37" s="110"/>
      <c r="T37" s="110">
        <f t="shared" si="7"/>
        <v>5000</v>
      </c>
      <c r="U37" s="110"/>
      <c r="V37" s="110"/>
      <c r="W37" s="110"/>
      <c r="X37" s="110"/>
      <c r="Y37" s="143">
        <f t="shared" si="5"/>
        <v>0</v>
      </c>
      <c r="Z37" s="243">
        <v>74200</v>
      </c>
      <c r="AA37" s="308" t="s">
        <v>52</v>
      </c>
      <c r="AB37" s="229" t="s">
        <v>168</v>
      </c>
      <c r="AD37" s="83"/>
      <c r="AE37" s="83"/>
    </row>
    <row r="38" spans="1:31" ht="15">
      <c r="A38" s="29" t="s">
        <v>17</v>
      </c>
      <c r="B38" s="17"/>
      <c r="C38" s="13"/>
      <c r="D38" s="17"/>
      <c r="E38" s="33">
        <f>SUM(E30:E37)</f>
        <v>535298.7447698745</v>
      </c>
      <c r="F38" s="246"/>
      <c r="G38" s="275">
        <f>SUM(G30:G36)</f>
        <v>290300</v>
      </c>
      <c r="H38" s="276">
        <f>SUM(H30:H36)</f>
        <v>0</v>
      </c>
      <c r="I38" s="297">
        <f>SUM(I30:I36)</f>
        <v>0</v>
      </c>
      <c r="J38" s="310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246"/>
      <c r="AA38" s="310"/>
      <c r="AB38" s="225"/>
      <c r="AD38" s="83"/>
      <c r="AE38" s="83"/>
    </row>
    <row r="39" spans="1:31" ht="15">
      <c r="A39" s="27" t="s">
        <v>25</v>
      </c>
      <c r="B39" s="17"/>
      <c r="C39" s="13"/>
      <c r="D39" s="17"/>
      <c r="E39" s="14">
        <f>(E38-G31)*7%</f>
        <v>17149.912133891215</v>
      </c>
      <c r="F39" s="247"/>
      <c r="G39" s="272"/>
      <c r="H39" s="274">
        <f>H38*7%</f>
        <v>0</v>
      </c>
      <c r="I39" s="296">
        <f>I38*7%</f>
        <v>0</v>
      </c>
      <c r="J39" s="311"/>
      <c r="K39" s="14"/>
      <c r="L39" s="14">
        <f>SUM(L30:L37)*8.0707%</f>
        <v>0</v>
      </c>
      <c r="M39" s="14">
        <f>SUM(M30:M37)*8.0707%</f>
        <v>1008.8375</v>
      </c>
      <c r="N39" s="14">
        <f>SUM(N30:N37)*8.0707%</f>
        <v>0</v>
      </c>
      <c r="O39" s="143">
        <f>SUM(K39:N39)</f>
        <v>1008.8375</v>
      </c>
      <c r="P39" s="14"/>
      <c r="Q39" s="14">
        <f>SUM(Q30:Q37)*8.0707%</f>
        <v>0</v>
      </c>
      <c r="R39" s="14">
        <f>SUM(R30:R37)*8.0707%</f>
        <v>0</v>
      </c>
      <c r="S39" s="14">
        <f>SUM(S30:S37)*8.0707%</f>
        <v>0</v>
      </c>
      <c r="T39" s="143">
        <f>SUM(P39:S39)</f>
        <v>0</v>
      </c>
      <c r="U39" s="14"/>
      <c r="V39" s="14">
        <f>SUM(V30:V37)*8.0707%</f>
        <v>0</v>
      </c>
      <c r="W39" s="14">
        <f>SUM(W30:W37)*8.0707%</f>
        <v>0</v>
      </c>
      <c r="X39" s="14">
        <f>SUM(X30:X37)*8.0707%</f>
        <v>0</v>
      </c>
      <c r="Y39" s="14">
        <f>SUM(V39:X39)</f>
        <v>0</v>
      </c>
      <c r="Z39" s="247"/>
      <c r="AA39" s="311"/>
      <c r="AB39" s="226"/>
      <c r="AD39" s="83"/>
      <c r="AE39" s="83"/>
    </row>
    <row r="40" spans="1:31" ht="15.75" thickBot="1">
      <c r="A40" s="28" t="s">
        <v>26</v>
      </c>
      <c r="B40" s="31"/>
      <c r="C40" s="32"/>
      <c r="D40" s="31"/>
      <c r="E40" s="34">
        <f>E38+E39</f>
        <v>552448.6569037657</v>
      </c>
      <c r="F40" s="248"/>
      <c r="G40" s="277">
        <f>G38+G39</f>
        <v>290300</v>
      </c>
      <c r="H40" s="278">
        <f>H38+H39</f>
        <v>0</v>
      </c>
      <c r="I40" s="298">
        <f>I38+I39</f>
        <v>0</v>
      </c>
      <c r="J40" s="312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248"/>
      <c r="AA40" s="312"/>
      <c r="AB40" s="227"/>
      <c r="AD40" s="84">
        <f>SUM(AD32:AD38)</f>
        <v>0</v>
      </c>
      <c r="AE40" s="84">
        <f>SUM(AE32:AE38)</f>
        <v>0</v>
      </c>
    </row>
    <row r="41" spans="1:31" ht="35.25" customHeight="1" thickTop="1">
      <c r="A41" s="116" t="s">
        <v>27</v>
      </c>
      <c r="B41" s="17"/>
      <c r="C41" s="13"/>
      <c r="D41" s="17"/>
      <c r="E41" s="14"/>
      <c r="F41" s="247"/>
      <c r="G41" s="279"/>
      <c r="H41" s="280"/>
      <c r="I41" s="299"/>
      <c r="J41" s="311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247"/>
      <c r="AA41" s="311"/>
      <c r="AB41" s="226"/>
      <c r="AD41" s="17">
        <f>AD40*7%</f>
        <v>0</v>
      </c>
      <c r="AE41" s="17">
        <f>AE40*7%</f>
        <v>0</v>
      </c>
    </row>
    <row r="42" spans="1:31" ht="39.75" thickBot="1">
      <c r="A42" s="37" t="s">
        <v>28</v>
      </c>
      <c r="B42" s="17"/>
      <c r="C42" s="13"/>
      <c r="D42" s="17"/>
      <c r="E42" s="14"/>
      <c r="F42" s="247"/>
      <c r="G42" s="270"/>
      <c r="H42" s="271"/>
      <c r="I42" s="295"/>
      <c r="J42" s="311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247"/>
      <c r="AA42" s="311"/>
      <c r="AB42" s="226"/>
      <c r="AD42" s="90">
        <f>AD40+AD41</f>
        <v>0</v>
      </c>
      <c r="AE42" s="90">
        <f>AE40+AE41</f>
        <v>0</v>
      </c>
    </row>
    <row r="43" spans="1:31" ht="31.5" customHeight="1" thickTop="1">
      <c r="A43" s="16" t="s">
        <v>29</v>
      </c>
      <c r="B43" s="17">
        <v>35000</v>
      </c>
      <c r="C43" s="13">
        <v>4</v>
      </c>
      <c r="D43" s="108">
        <f>B43*C43</f>
        <v>140000</v>
      </c>
      <c r="E43" s="14">
        <f>D43</f>
        <v>140000</v>
      </c>
      <c r="F43" s="250" t="s">
        <v>178</v>
      </c>
      <c r="G43" s="270"/>
      <c r="H43" s="271"/>
      <c r="I43" s="295"/>
      <c r="J43" s="311" t="s">
        <v>187</v>
      </c>
      <c r="K43" s="14"/>
      <c r="L43" s="14"/>
      <c r="M43" s="14"/>
      <c r="N43" s="14">
        <v>60000</v>
      </c>
      <c r="O43" s="14">
        <f>SUM(K43:N43)</f>
        <v>60000</v>
      </c>
      <c r="P43" s="14"/>
      <c r="Q43" s="14"/>
      <c r="R43" s="14"/>
      <c r="S43" s="14">
        <v>40000</v>
      </c>
      <c r="T43" s="14">
        <f>SUM(P43:S43)</f>
        <v>40000</v>
      </c>
      <c r="U43" s="14"/>
      <c r="V43" s="14"/>
      <c r="W43" s="14"/>
      <c r="X43" s="14">
        <v>40000</v>
      </c>
      <c r="Y43" s="143">
        <f>E43-O43-T43</f>
        <v>40000</v>
      </c>
      <c r="Z43" s="250" t="s">
        <v>178</v>
      </c>
      <c r="AA43" s="311" t="s">
        <v>187</v>
      </c>
      <c r="AB43" s="226" t="s">
        <v>170</v>
      </c>
      <c r="AD43" s="89"/>
      <c r="AE43" s="89"/>
    </row>
    <row r="44" spans="1:31" ht="39">
      <c r="A44" s="16" t="s">
        <v>30</v>
      </c>
      <c r="B44" s="18">
        <v>75000</v>
      </c>
      <c r="C44" s="13" t="s">
        <v>2</v>
      </c>
      <c r="D44" s="18">
        <v>75000</v>
      </c>
      <c r="E44" s="14">
        <f>D44</f>
        <v>75000</v>
      </c>
      <c r="F44" s="250" t="s">
        <v>178</v>
      </c>
      <c r="G44" s="270"/>
      <c r="H44" s="271"/>
      <c r="I44" s="295"/>
      <c r="J44" s="311" t="s">
        <v>187</v>
      </c>
      <c r="K44" s="14"/>
      <c r="L44" s="14"/>
      <c r="M44" s="14"/>
      <c r="N44" s="14">
        <v>25000</v>
      </c>
      <c r="O44" s="14">
        <f aca="true" t="shared" si="8" ref="O44:O61">SUM(K44:N44)</f>
        <v>25000</v>
      </c>
      <c r="P44" s="14"/>
      <c r="Q44" s="14"/>
      <c r="R44" s="14"/>
      <c r="S44" s="14">
        <v>25000</v>
      </c>
      <c r="T44" s="14">
        <f aca="true" t="shared" si="9" ref="T44:T61">SUM(P44:S44)</f>
        <v>25000</v>
      </c>
      <c r="U44" s="14"/>
      <c r="V44" s="14"/>
      <c r="W44" s="14"/>
      <c r="X44" s="14">
        <v>25000</v>
      </c>
      <c r="Y44" s="143">
        <f>E44-O44-T44</f>
        <v>25000</v>
      </c>
      <c r="Z44" s="250" t="s">
        <v>178</v>
      </c>
      <c r="AA44" s="311" t="s">
        <v>187</v>
      </c>
      <c r="AB44" s="226" t="s">
        <v>170</v>
      </c>
      <c r="AD44" s="83"/>
      <c r="AE44" s="83"/>
    </row>
    <row r="45" spans="1:31" ht="39">
      <c r="A45" s="120" t="s">
        <v>31</v>
      </c>
      <c r="B45" s="126">
        <v>79500</v>
      </c>
      <c r="C45" s="109" t="s">
        <v>2</v>
      </c>
      <c r="D45" s="126">
        <v>79500</v>
      </c>
      <c r="E45" s="110">
        <v>79500</v>
      </c>
      <c r="F45" s="250" t="s">
        <v>178</v>
      </c>
      <c r="G45" s="270"/>
      <c r="H45" s="271"/>
      <c r="I45" s="295"/>
      <c r="J45" s="308" t="s">
        <v>52</v>
      </c>
      <c r="K45" s="110"/>
      <c r="L45" s="110"/>
      <c r="M45" s="110"/>
      <c r="N45" s="110">
        <v>40000</v>
      </c>
      <c r="O45" s="14">
        <f t="shared" si="8"/>
        <v>40000</v>
      </c>
      <c r="P45" s="110"/>
      <c r="Q45" s="110"/>
      <c r="R45" s="110"/>
      <c r="S45" s="110">
        <v>39500</v>
      </c>
      <c r="T45" s="14">
        <f t="shared" si="9"/>
        <v>39500</v>
      </c>
      <c r="U45" s="110"/>
      <c r="V45" s="110"/>
      <c r="W45" s="110"/>
      <c r="X45" s="110"/>
      <c r="Y45" s="143">
        <f>E45-O45-T45</f>
        <v>0</v>
      </c>
      <c r="Z45" s="250" t="s">
        <v>178</v>
      </c>
      <c r="AA45" s="308" t="s">
        <v>52</v>
      </c>
      <c r="AB45" s="226" t="s">
        <v>170</v>
      </c>
      <c r="AD45" s="83"/>
      <c r="AE45" s="83"/>
    </row>
    <row r="46" spans="1:31" ht="15">
      <c r="A46" s="120" t="s">
        <v>103</v>
      </c>
      <c r="B46" s="144">
        <f>1425</f>
        <v>1425</v>
      </c>
      <c r="C46" s="109">
        <v>36</v>
      </c>
      <c r="D46" s="144">
        <f>B46*C46</f>
        <v>51300</v>
      </c>
      <c r="E46" s="110">
        <f>D46/$H$1</f>
        <v>71548.11715481171</v>
      </c>
      <c r="F46" s="243">
        <v>71400</v>
      </c>
      <c r="G46" s="270"/>
      <c r="H46" s="271"/>
      <c r="I46" s="295"/>
      <c r="J46" s="308" t="s">
        <v>187</v>
      </c>
      <c r="K46" s="110"/>
      <c r="L46" s="110"/>
      <c r="M46" s="110"/>
      <c r="N46" s="110">
        <v>25000</v>
      </c>
      <c r="O46" s="14">
        <f t="shared" si="8"/>
        <v>25000</v>
      </c>
      <c r="P46" s="110"/>
      <c r="Q46" s="110"/>
      <c r="R46" s="110"/>
      <c r="S46" s="110">
        <v>25000</v>
      </c>
      <c r="T46" s="14">
        <f t="shared" si="9"/>
        <v>25000</v>
      </c>
      <c r="U46" s="110"/>
      <c r="V46" s="110"/>
      <c r="W46" s="110"/>
      <c r="X46" s="110">
        <v>21548.117154811713</v>
      </c>
      <c r="Y46" s="143">
        <f>E46-O46-T46</f>
        <v>21548.117154811713</v>
      </c>
      <c r="Z46" s="243">
        <v>71400</v>
      </c>
      <c r="AA46" s="308" t="s">
        <v>187</v>
      </c>
      <c r="AB46" s="226" t="s">
        <v>170</v>
      </c>
      <c r="AD46" s="83"/>
      <c r="AE46" s="83"/>
    </row>
    <row r="47" spans="1:31" ht="39">
      <c r="A47" s="133" t="s">
        <v>32</v>
      </c>
      <c r="B47" s="108"/>
      <c r="C47" s="109"/>
      <c r="D47" s="108"/>
      <c r="E47" s="110"/>
      <c r="F47" s="243"/>
      <c r="G47" s="270"/>
      <c r="H47" s="271"/>
      <c r="I47" s="295"/>
      <c r="J47" s="308"/>
      <c r="K47" s="110"/>
      <c r="L47" s="110"/>
      <c r="M47" s="110"/>
      <c r="N47" s="110"/>
      <c r="O47" s="14"/>
      <c r="P47" s="110"/>
      <c r="Q47" s="110"/>
      <c r="R47" s="110"/>
      <c r="S47" s="110"/>
      <c r="T47" s="14"/>
      <c r="U47" s="110"/>
      <c r="V47" s="110"/>
      <c r="W47" s="110"/>
      <c r="X47" s="110"/>
      <c r="Y47" s="143"/>
      <c r="Z47" s="243"/>
      <c r="AA47" s="308"/>
      <c r="AB47" s="229"/>
      <c r="AD47" s="83"/>
      <c r="AE47" s="83"/>
    </row>
    <row r="48" spans="1:31" ht="39">
      <c r="A48" s="120" t="s">
        <v>104</v>
      </c>
      <c r="B48" s="108">
        <v>200000</v>
      </c>
      <c r="C48" s="109" t="s">
        <v>2</v>
      </c>
      <c r="D48" s="108">
        <v>200000</v>
      </c>
      <c r="E48" s="110">
        <f>D48</f>
        <v>200000</v>
      </c>
      <c r="F48" s="250" t="s">
        <v>178</v>
      </c>
      <c r="G48" s="270"/>
      <c r="H48" s="271"/>
      <c r="I48" s="295"/>
      <c r="J48" s="308" t="s">
        <v>52</v>
      </c>
      <c r="K48" s="110"/>
      <c r="L48" s="110"/>
      <c r="M48" s="110"/>
      <c r="N48" s="110">
        <v>80000</v>
      </c>
      <c r="O48" s="14">
        <f t="shared" si="8"/>
        <v>80000</v>
      </c>
      <c r="P48" s="110"/>
      <c r="Q48" s="110"/>
      <c r="R48" s="110"/>
      <c r="S48" s="110">
        <v>80000</v>
      </c>
      <c r="T48" s="14">
        <f t="shared" si="9"/>
        <v>80000</v>
      </c>
      <c r="U48" s="110"/>
      <c r="V48" s="110"/>
      <c r="W48" s="110"/>
      <c r="X48" s="110">
        <v>40000</v>
      </c>
      <c r="Y48" s="143">
        <f>E48-O48-T48</f>
        <v>40000</v>
      </c>
      <c r="Z48" s="250" t="s">
        <v>178</v>
      </c>
      <c r="AA48" s="308" t="s">
        <v>52</v>
      </c>
      <c r="AB48" s="226" t="s">
        <v>170</v>
      </c>
      <c r="AD48" s="83"/>
      <c r="AE48" s="83"/>
    </row>
    <row r="49" spans="1:31" ht="39">
      <c r="A49" s="120" t="s">
        <v>105</v>
      </c>
      <c r="B49" s="108">
        <v>80000</v>
      </c>
      <c r="C49" s="109" t="s">
        <v>2</v>
      </c>
      <c r="D49" s="108">
        <v>80000</v>
      </c>
      <c r="E49" s="110">
        <f>D49</f>
        <v>80000</v>
      </c>
      <c r="F49" s="250" t="s">
        <v>178</v>
      </c>
      <c r="G49" s="270"/>
      <c r="H49" s="271"/>
      <c r="I49" s="295"/>
      <c r="J49" s="308" t="s">
        <v>52</v>
      </c>
      <c r="K49" s="110"/>
      <c r="L49" s="110"/>
      <c r="M49" s="110"/>
      <c r="N49" s="110">
        <v>30000</v>
      </c>
      <c r="O49" s="14">
        <f t="shared" si="8"/>
        <v>30000</v>
      </c>
      <c r="P49" s="110"/>
      <c r="Q49" s="110"/>
      <c r="R49" s="110"/>
      <c r="S49" s="110">
        <v>30000</v>
      </c>
      <c r="T49" s="14">
        <f t="shared" si="9"/>
        <v>30000</v>
      </c>
      <c r="U49" s="110"/>
      <c r="V49" s="110"/>
      <c r="W49" s="110"/>
      <c r="X49" s="110">
        <v>20000</v>
      </c>
      <c r="Y49" s="143">
        <f>E49-O49-T49</f>
        <v>20000</v>
      </c>
      <c r="Z49" s="250" t="s">
        <v>178</v>
      </c>
      <c r="AA49" s="308" t="s">
        <v>52</v>
      </c>
      <c r="AB49" s="226" t="s">
        <v>170</v>
      </c>
      <c r="AD49" s="83"/>
      <c r="AE49" s="83"/>
    </row>
    <row r="50" spans="1:31" ht="39">
      <c r="A50" s="120" t="s">
        <v>106</v>
      </c>
      <c r="B50" s="108">
        <v>70000</v>
      </c>
      <c r="C50" s="109" t="s">
        <v>2</v>
      </c>
      <c r="D50" s="108">
        <v>70000</v>
      </c>
      <c r="E50" s="110">
        <f>D50</f>
        <v>70000</v>
      </c>
      <c r="F50" s="250" t="s">
        <v>178</v>
      </c>
      <c r="G50" s="270"/>
      <c r="H50" s="271"/>
      <c r="I50" s="295"/>
      <c r="J50" s="308" t="s">
        <v>52</v>
      </c>
      <c r="K50" s="110"/>
      <c r="L50" s="110"/>
      <c r="M50" s="110"/>
      <c r="N50" s="110">
        <v>25000</v>
      </c>
      <c r="O50" s="14">
        <f t="shared" si="8"/>
        <v>25000</v>
      </c>
      <c r="P50" s="110"/>
      <c r="Q50" s="110"/>
      <c r="R50" s="110"/>
      <c r="S50" s="110">
        <v>25000</v>
      </c>
      <c r="T50" s="14">
        <f t="shared" si="9"/>
        <v>25000</v>
      </c>
      <c r="U50" s="110"/>
      <c r="V50" s="110"/>
      <c r="W50" s="110"/>
      <c r="X50" s="110">
        <v>20000</v>
      </c>
      <c r="Y50" s="143">
        <f>E50-O50-T50</f>
        <v>20000</v>
      </c>
      <c r="Z50" s="250" t="s">
        <v>178</v>
      </c>
      <c r="AA50" s="308" t="s">
        <v>52</v>
      </c>
      <c r="AB50" s="226" t="s">
        <v>170</v>
      </c>
      <c r="AD50" s="83"/>
      <c r="AE50" s="83"/>
    </row>
    <row r="51" spans="1:31" ht="15">
      <c r="A51" s="138" t="s">
        <v>107</v>
      </c>
      <c r="B51" s="131">
        <v>2400</v>
      </c>
      <c r="C51" s="132">
        <v>30</v>
      </c>
      <c r="D51" s="131">
        <f>C51*B51</f>
        <v>72000</v>
      </c>
      <c r="E51" s="110">
        <f>D51</f>
        <v>72000</v>
      </c>
      <c r="F51" s="243">
        <v>71400</v>
      </c>
      <c r="G51" s="270"/>
      <c r="H51" s="271"/>
      <c r="I51" s="295"/>
      <c r="J51" s="308" t="s">
        <v>52</v>
      </c>
      <c r="K51" s="110"/>
      <c r="L51" s="110"/>
      <c r="M51" s="110"/>
      <c r="N51" s="110">
        <v>28800</v>
      </c>
      <c r="O51" s="14">
        <f t="shared" si="8"/>
        <v>28800</v>
      </c>
      <c r="P51" s="110"/>
      <c r="Q51" s="110"/>
      <c r="R51" s="110"/>
      <c r="S51" s="110">
        <v>28800</v>
      </c>
      <c r="T51" s="14">
        <f t="shared" si="9"/>
        <v>28800</v>
      </c>
      <c r="U51" s="110"/>
      <c r="V51" s="110"/>
      <c r="W51" s="110"/>
      <c r="X51" s="110">
        <v>14400</v>
      </c>
      <c r="Y51" s="143">
        <f>E51-O51-T51</f>
        <v>14400</v>
      </c>
      <c r="Z51" s="243">
        <v>71400</v>
      </c>
      <c r="AA51" s="308" t="s">
        <v>52</v>
      </c>
      <c r="AB51" s="226" t="s">
        <v>170</v>
      </c>
      <c r="AD51" s="83"/>
      <c r="AE51" s="83"/>
    </row>
    <row r="52" spans="1:31" ht="51.75">
      <c r="A52" s="134" t="s">
        <v>33</v>
      </c>
      <c r="B52" s="131"/>
      <c r="C52" s="132"/>
      <c r="D52" s="131"/>
      <c r="E52" s="110"/>
      <c r="F52" s="243"/>
      <c r="G52" s="270"/>
      <c r="H52" s="271"/>
      <c r="I52" s="295"/>
      <c r="J52" s="308"/>
      <c r="K52" s="110"/>
      <c r="L52" s="110"/>
      <c r="M52" s="110"/>
      <c r="N52" s="110"/>
      <c r="O52" s="14"/>
      <c r="P52" s="110"/>
      <c r="Q52" s="110"/>
      <c r="R52" s="110"/>
      <c r="S52" s="110"/>
      <c r="T52" s="14"/>
      <c r="U52" s="110"/>
      <c r="V52" s="110"/>
      <c r="W52" s="110"/>
      <c r="X52" s="110"/>
      <c r="Y52" s="143"/>
      <c r="Z52" s="243"/>
      <c r="AA52" s="308"/>
      <c r="AB52" s="229"/>
      <c r="AD52" s="83"/>
      <c r="AE52" s="83"/>
    </row>
    <row r="53" spans="1:31" ht="39">
      <c r="A53" s="120" t="s">
        <v>34</v>
      </c>
      <c r="B53" s="108">
        <v>150000</v>
      </c>
      <c r="C53" s="109" t="s">
        <v>2</v>
      </c>
      <c r="D53" s="108">
        <v>150000</v>
      </c>
      <c r="E53" s="110">
        <f>D53</f>
        <v>150000</v>
      </c>
      <c r="F53" s="250" t="s">
        <v>178</v>
      </c>
      <c r="G53" s="270"/>
      <c r="H53" s="271"/>
      <c r="I53" s="295"/>
      <c r="J53" s="308" t="s">
        <v>52</v>
      </c>
      <c r="K53" s="110"/>
      <c r="L53" s="110"/>
      <c r="M53" s="110"/>
      <c r="N53" s="110">
        <v>50000</v>
      </c>
      <c r="O53" s="14">
        <f t="shared" si="8"/>
        <v>50000</v>
      </c>
      <c r="P53" s="110"/>
      <c r="Q53" s="110"/>
      <c r="R53" s="110"/>
      <c r="S53" s="110">
        <v>50000</v>
      </c>
      <c r="T53" s="14">
        <f t="shared" si="9"/>
        <v>50000</v>
      </c>
      <c r="U53" s="110"/>
      <c r="V53" s="110"/>
      <c r="W53" s="110"/>
      <c r="X53" s="110">
        <v>50000</v>
      </c>
      <c r="Y53" s="143">
        <f>E53-O53-T53</f>
        <v>50000</v>
      </c>
      <c r="Z53" s="250" t="s">
        <v>178</v>
      </c>
      <c r="AA53" s="308" t="s">
        <v>52</v>
      </c>
      <c r="AB53" s="226" t="s">
        <v>170</v>
      </c>
      <c r="AD53" s="83"/>
      <c r="AE53" s="83"/>
    </row>
    <row r="54" spans="1:31" ht="39">
      <c r="A54" s="120" t="s">
        <v>35</v>
      </c>
      <c r="B54" s="108">
        <v>170000</v>
      </c>
      <c r="C54" s="109" t="s">
        <v>2</v>
      </c>
      <c r="D54" s="108">
        <v>170000</v>
      </c>
      <c r="E54" s="110">
        <f>D54</f>
        <v>170000</v>
      </c>
      <c r="F54" s="250" t="s">
        <v>178</v>
      </c>
      <c r="G54" s="270"/>
      <c r="H54" s="271"/>
      <c r="I54" s="295"/>
      <c r="J54" s="308" t="s">
        <v>52</v>
      </c>
      <c r="K54" s="110"/>
      <c r="L54" s="110"/>
      <c r="M54" s="110"/>
      <c r="N54" s="110">
        <v>60000</v>
      </c>
      <c r="O54" s="14">
        <f t="shared" si="8"/>
        <v>60000</v>
      </c>
      <c r="P54" s="110"/>
      <c r="Q54" s="110"/>
      <c r="R54" s="110"/>
      <c r="S54" s="110">
        <v>60000</v>
      </c>
      <c r="T54" s="14">
        <f t="shared" si="9"/>
        <v>60000</v>
      </c>
      <c r="U54" s="110"/>
      <c r="V54" s="110"/>
      <c r="W54" s="110"/>
      <c r="X54" s="110">
        <v>50000</v>
      </c>
      <c r="Y54" s="143">
        <f>E54-O54-T54</f>
        <v>50000</v>
      </c>
      <c r="Z54" s="250" t="s">
        <v>178</v>
      </c>
      <c r="AA54" s="308" t="s">
        <v>52</v>
      </c>
      <c r="AB54" s="226" t="s">
        <v>170</v>
      </c>
      <c r="AD54" s="83"/>
      <c r="AE54" s="83"/>
    </row>
    <row r="55" spans="1:31" ht="15">
      <c r="A55" s="137" t="s">
        <v>98</v>
      </c>
      <c r="B55" s="131">
        <v>1500</v>
      </c>
      <c r="C55" s="132">
        <v>36</v>
      </c>
      <c r="D55" s="131">
        <f>B55*C55</f>
        <v>54000</v>
      </c>
      <c r="E55" s="110">
        <f>D55</f>
        <v>54000</v>
      </c>
      <c r="F55" s="243">
        <v>71400</v>
      </c>
      <c r="G55" s="270"/>
      <c r="H55" s="271"/>
      <c r="I55" s="295"/>
      <c r="J55" s="308" t="s">
        <v>52</v>
      </c>
      <c r="K55" s="110"/>
      <c r="L55" s="110"/>
      <c r="M55" s="110"/>
      <c r="N55" s="110">
        <v>18000</v>
      </c>
      <c r="O55" s="14">
        <f t="shared" si="8"/>
        <v>18000</v>
      </c>
      <c r="P55" s="110"/>
      <c r="Q55" s="110"/>
      <c r="R55" s="110"/>
      <c r="S55" s="110">
        <v>18000</v>
      </c>
      <c r="T55" s="14">
        <f t="shared" si="9"/>
        <v>18000</v>
      </c>
      <c r="U55" s="110"/>
      <c r="V55" s="110"/>
      <c r="W55" s="110"/>
      <c r="X55" s="110">
        <v>18000</v>
      </c>
      <c r="Y55" s="143">
        <f>E55-O55-T55</f>
        <v>18000</v>
      </c>
      <c r="Z55" s="243">
        <v>71400</v>
      </c>
      <c r="AA55" s="308" t="s">
        <v>52</v>
      </c>
      <c r="AB55" s="226" t="s">
        <v>170</v>
      </c>
      <c r="AD55" s="83"/>
      <c r="AE55" s="83"/>
    </row>
    <row r="56" spans="1:31" ht="15">
      <c r="A56" s="139" t="s">
        <v>101</v>
      </c>
      <c r="B56" s="131">
        <v>2550</v>
      </c>
      <c r="C56" s="132">
        <v>36</v>
      </c>
      <c r="D56" s="131">
        <f>B56*C56</f>
        <v>91800</v>
      </c>
      <c r="E56" s="110">
        <f>D56</f>
        <v>91800</v>
      </c>
      <c r="F56" s="243">
        <v>71400</v>
      </c>
      <c r="G56" s="270"/>
      <c r="H56" s="271"/>
      <c r="I56" s="295"/>
      <c r="J56" s="308" t="s">
        <v>52</v>
      </c>
      <c r="K56" s="110"/>
      <c r="L56" s="110"/>
      <c r="M56" s="110"/>
      <c r="N56" s="110">
        <v>30600</v>
      </c>
      <c r="O56" s="14">
        <f t="shared" si="8"/>
        <v>30600</v>
      </c>
      <c r="P56" s="110"/>
      <c r="Q56" s="110"/>
      <c r="R56" s="110"/>
      <c r="S56" s="110">
        <v>30600</v>
      </c>
      <c r="T56" s="14">
        <f t="shared" si="9"/>
        <v>30600</v>
      </c>
      <c r="U56" s="110"/>
      <c r="V56" s="110"/>
      <c r="W56" s="110"/>
      <c r="X56" s="110">
        <v>30600</v>
      </c>
      <c r="Y56" s="143">
        <f>E56-O56-T56</f>
        <v>30600</v>
      </c>
      <c r="Z56" s="243">
        <v>71400</v>
      </c>
      <c r="AA56" s="308" t="s">
        <v>52</v>
      </c>
      <c r="AB56" s="226" t="s">
        <v>170</v>
      </c>
      <c r="AD56" s="83"/>
      <c r="AE56" s="83"/>
    </row>
    <row r="57" spans="1:31" ht="15">
      <c r="A57" s="107" t="s">
        <v>100</v>
      </c>
      <c r="B57" s="108">
        <v>30000</v>
      </c>
      <c r="C57" s="109" t="s">
        <v>2</v>
      </c>
      <c r="D57" s="108">
        <v>30000</v>
      </c>
      <c r="E57" s="110">
        <v>30000</v>
      </c>
      <c r="F57" s="243">
        <v>74200</v>
      </c>
      <c r="G57" s="270"/>
      <c r="H57" s="271"/>
      <c r="I57" s="295"/>
      <c r="J57" s="308" t="s">
        <v>52</v>
      </c>
      <c r="K57" s="110"/>
      <c r="L57" s="110"/>
      <c r="M57" s="110"/>
      <c r="N57" s="110">
        <v>10000</v>
      </c>
      <c r="O57" s="14">
        <f t="shared" si="8"/>
        <v>10000</v>
      </c>
      <c r="P57" s="110"/>
      <c r="Q57" s="110"/>
      <c r="R57" s="110"/>
      <c r="S57" s="110">
        <v>10000</v>
      </c>
      <c r="T57" s="14">
        <f t="shared" si="9"/>
        <v>10000</v>
      </c>
      <c r="U57" s="110"/>
      <c r="V57" s="110"/>
      <c r="W57" s="110"/>
      <c r="X57" s="110">
        <v>10000</v>
      </c>
      <c r="Y57" s="143">
        <f>E57-O57-T57</f>
        <v>10000</v>
      </c>
      <c r="Z57" s="243">
        <v>74200</v>
      </c>
      <c r="AA57" s="308" t="s">
        <v>52</v>
      </c>
      <c r="AB57" s="226" t="s">
        <v>170</v>
      </c>
      <c r="AD57" s="83"/>
      <c r="AE57" s="83"/>
    </row>
    <row r="58" spans="1:31" ht="39">
      <c r="A58" s="112" t="s">
        <v>108</v>
      </c>
      <c r="B58" s="108"/>
      <c r="C58" s="109"/>
      <c r="D58" s="108"/>
      <c r="E58" s="110"/>
      <c r="F58" s="243"/>
      <c r="G58" s="270"/>
      <c r="H58" s="271"/>
      <c r="I58" s="295"/>
      <c r="J58" s="308"/>
      <c r="K58" s="110"/>
      <c r="L58" s="110"/>
      <c r="M58" s="110"/>
      <c r="N58" s="110"/>
      <c r="O58" s="14"/>
      <c r="P58" s="110"/>
      <c r="Q58" s="110"/>
      <c r="R58" s="110"/>
      <c r="S58" s="110"/>
      <c r="T58" s="14"/>
      <c r="U58" s="110"/>
      <c r="V58" s="110"/>
      <c r="W58" s="110"/>
      <c r="X58" s="110"/>
      <c r="Y58" s="143"/>
      <c r="Z58" s="243"/>
      <c r="AA58" s="308"/>
      <c r="AB58" s="229"/>
      <c r="AD58" s="83"/>
      <c r="AE58" s="83"/>
    </row>
    <row r="59" spans="1:31" ht="15">
      <c r="A59" s="107" t="s">
        <v>109</v>
      </c>
      <c r="B59" s="126">
        <v>100000</v>
      </c>
      <c r="C59" s="109" t="s">
        <v>2</v>
      </c>
      <c r="D59" s="126">
        <v>100000</v>
      </c>
      <c r="E59" s="110">
        <v>100000</v>
      </c>
      <c r="F59" s="243">
        <v>74200</v>
      </c>
      <c r="G59" s="270"/>
      <c r="H59" s="271"/>
      <c r="I59" s="295"/>
      <c r="J59" s="308" t="s">
        <v>187</v>
      </c>
      <c r="K59" s="110"/>
      <c r="L59" s="110"/>
      <c r="M59" s="110"/>
      <c r="N59" s="110">
        <v>35000</v>
      </c>
      <c r="O59" s="14">
        <f t="shared" si="8"/>
        <v>35000</v>
      </c>
      <c r="P59" s="110"/>
      <c r="Q59" s="110"/>
      <c r="R59" s="110"/>
      <c r="S59" s="110">
        <v>35000</v>
      </c>
      <c r="T59" s="14">
        <f t="shared" si="9"/>
        <v>35000</v>
      </c>
      <c r="U59" s="110"/>
      <c r="V59" s="110"/>
      <c r="W59" s="110"/>
      <c r="X59" s="110">
        <v>30000</v>
      </c>
      <c r="Y59" s="143">
        <f>E59-O59-T59</f>
        <v>30000</v>
      </c>
      <c r="Z59" s="243">
        <v>74200</v>
      </c>
      <c r="AA59" s="308" t="s">
        <v>187</v>
      </c>
      <c r="AB59" s="226" t="s">
        <v>170</v>
      </c>
      <c r="AD59" s="83"/>
      <c r="AE59" s="83"/>
    </row>
    <row r="60" spans="1:31" ht="26.25">
      <c r="A60" s="107" t="s">
        <v>110</v>
      </c>
      <c r="B60" s="126">
        <v>60000</v>
      </c>
      <c r="C60" s="109" t="s">
        <v>2</v>
      </c>
      <c r="D60" s="126">
        <v>60000</v>
      </c>
      <c r="E60" s="110">
        <v>60000</v>
      </c>
      <c r="F60" s="250" t="s">
        <v>179</v>
      </c>
      <c r="G60" s="270"/>
      <c r="H60" s="271"/>
      <c r="I60" s="295"/>
      <c r="J60" s="308" t="s">
        <v>187</v>
      </c>
      <c r="K60" s="110"/>
      <c r="L60" s="110"/>
      <c r="M60" s="110"/>
      <c r="N60" s="110">
        <v>20000</v>
      </c>
      <c r="O60" s="14">
        <f t="shared" si="8"/>
        <v>20000</v>
      </c>
      <c r="P60" s="110"/>
      <c r="Q60" s="110"/>
      <c r="R60" s="110"/>
      <c r="S60" s="110">
        <v>20000</v>
      </c>
      <c r="T60" s="14">
        <f t="shared" si="9"/>
        <v>20000</v>
      </c>
      <c r="U60" s="110"/>
      <c r="V60" s="110"/>
      <c r="W60" s="110"/>
      <c r="X60" s="110">
        <v>20000</v>
      </c>
      <c r="Y60" s="143">
        <f>E60-O60-T60</f>
        <v>20000</v>
      </c>
      <c r="Z60" s="250" t="s">
        <v>179</v>
      </c>
      <c r="AA60" s="308" t="s">
        <v>187</v>
      </c>
      <c r="AB60" s="226" t="s">
        <v>170</v>
      </c>
      <c r="AD60" s="83"/>
      <c r="AE60" s="83"/>
    </row>
    <row r="61" spans="1:31" ht="26.25">
      <c r="A61" s="107" t="s">
        <v>111</v>
      </c>
      <c r="B61" s="126">
        <v>60000</v>
      </c>
      <c r="C61" s="109" t="s">
        <v>2</v>
      </c>
      <c r="D61" s="126">
        <v>60000</v>
      </c>
      <c r="E61" s="110">
        <v>60000</v>
      </c>
      <c r="F61" s="243" t="s">
        <v>180</v>
      </c>
      <c r="G61" s="270"/>
      <c r="H61" s="271"/>
      <c r="I61" s="295"/>
      <c r="J61" s="308" t="s">
        <v>187</v>
      </c>
      <c r="K61" s="110"/>
      <c r="L61" s="110"/>
      <c r="M61" s="110"/>
      <c r="N61" s="110">
        <v>20000</v>
      </c>
      <c r="O61" s="14">
        <f t="shared" si="8"/>
        <v>20000</v>
      </c>
      <c r="P61" s="110"/>
      <c r="Q61" s="110"/>
      <c r="R61" s="110"/>
      <c r="S61" s="110">
        <v>20000</v>
      </c>
      <c r="T61" s="14">
        <f t="shared" si="9"/>
        <v>20000</v>
      </c>
      <c r="U61" s="110"/>
      <c r="V61" s="110"/>
      <c r="W61" s="110"/>
      <c r="X61" s="110">
        <v>20000</v>
      </c>
      <c r="Y61" s="143">
        <f>E61-O61-T61</f>
        <v>20000</v>
      </c>
      <c r="Z61" s="243" t="s">
        <v>180</v>
      </c>
      <c r="AA61" s="308" t="s">
        <v>187</v>
      </c>
      <c r="AB61" s="226" t="s">
        <v>170</v>
      </c>
      <c r="AD61" s="83"/>
      <c r="AE61" s="83"/>
    </row>
    <row r="62" spans="1:31" ht="15">
      <c r="A62" s="111"/>
      <c r="B62" s="108"/>
      <c r="C62" s="109"/>
      <c r="D62" s="108"/>
      <c r="E62" s="110"/>
      <c r="F62" s="243"/>
      <c r="G62" s="270"/>
      <c r="H62" s="271"/>
      <c r="I62" s="295"/>
      <c r="J62" s="308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243"/>
      <c r="AA62" s="308"/>
      <c r="AB62" s="229"/>
      <c r="AD62" s="83"/>
      <c r="AE62" s="83"/>
    </row>
    <row r="63" spans="1:31" ht="15">
      <c r="A63" s="29" t="s">
        <v>17</v>
      </c>
      <c r="B63" s="17"/>
      <c r="C63" s="13"/>
      <c r="D63" s="17"/>
      <c r="E63" s="33">
        <f>SUM(E43:E61)</f>
        <v>1503848.1171548117</v>
      </c>
      <c r="F63" s="246"/>
      <c r="G63" s="275">
        <f>SUM(G43:G56)</f>
        <v>0</v>
      </c>
      <c r="H63" s="276">
        <f>SUM(H43:H56)</f>
        <v>0</v>
      </c>
      <c r="I63" s="297">
        <f>SUM(I43:I56)</f>
        <v>0</v>
      </c>
      <c r="J63" s="310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246"/>
      <c r="AA63" s="310"/>
      <c r="AB63" s="225"/>
      <c r="AD63" s="83"/>
      <c r="AE63" s="83"/>
    </row>
    <row r="64" spans="1:31" ht="15">
      <c r="A64" s="27" t="s">
        <v>44</v>
      </c>
      <c r="B64" s="17"/>
      <c r="C64" s="13"/>
      <c r="D64" s="17"/>
      <c r="E64" s="14">
        <f>E63*7%</f>
        <v>105269.36820083683</v>
      </c>
      <c r="F64" s="247"/>
      <c r="G64" s="272"/>
      <c r="H64" s="274">
        <f>H63*7%</f>
        <v>0</v>
      </c>
      <c r="I64" s="296">
        <f>I63*7%</f>
        <v>0</v>
      </c>
      <c r="J64" s="311"/>
      <c r="K64" s="14"/>
      <c r="L64" s="14">
        <f>SUM(L43:L62)*8.0707%</f>
        <v>0</v>
      </c>
      <c r="M64" s="14">
        <f>SUM(M43:M62)*8.0707%</f>
        <v>0</v>
      </c>
      <c r="N64" s="14">
        <f>SUM(N43:N62)*8.0707%</f>
        <v>44986.0818</v>
      </c>
      <c r="O64" s="143">
        <f>SUM(K64:N64)</f>
        <v>44986.0818</v>
      </c>
      <c r="P64" s="14"/>
      <c r="Q64" s="14">
        <f>SUM(Q43:Q62)*8.0707%</f>
        <v>0</v>
      </c>
      <c r="R64" s="14">
        <f>SUM(R43:R62)*8.0707%</f>
        <v>0</v>
      </c>
      <c r="S64" s="14">
        <f>SUM(S43:S62)*8.0707%</f>
        <v>43331.5883</v>
      </c>
      <c r="T64" s="143">
        <f>SUM(P64:S64)</f>
        <v>43331.5883</v>
      </c>
      <c r="U64" s="14"/>
      <c r="V64" s="14">
        <f>SUM(V43:V62)*8.0707%</f>
        <v>0</v>
      </c>
      <c r="W64" s="14">
        <f>SUM(W43:W62)*8.0707%</f>
        <v>0</v>
      </c>
      <c r="X64" s="14">
        <f>SUM(X43:X62)*8.0707%</f>
        <v>33053.39989121339</v>
      </c>
      <c r="Y64" s="14">
        <f>SUM(V64:X64)</f>
        <v>33053.39989121339</v>
      </c>
      <c r="Z64" s="247"/>
      <c r="AA64" s="311"/>
      <c r="AB64" s="226"/>
      <c r="AD64" s="83"/>
      <c r="AE64" s="83"/>
    </row>
    <row r="65" spans="1:31" ht="15.75" thickBot="1">
      <c r="A65" s="28" t="s">
        <v>39</v>
      </c>
      <c r="B65" s="31"/>
      <c r="C65" s="32"/>
      <c r="D65" s="31"/>
      <c r="E65" s="34">
        <f>E63+E64</f>
        <v>1609117.4853556487</v>
      </c>
      <c r="F65" s="248"/>
      <c r="G65" s="277">
        <f>G63+G64</f>
        <v>0</v>
      </c>
      <c r="H65" s="278">
        <f>H63+H64</f>
        <v>0</v>
      </c>
      <c r="I65" s="298">
        <f>I63+I64</f>
        <v>0</v>
      </c>
      <c r="J65" s="312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248"/>
      <c r="AA65" s="312"/>
      <c r="AB65" s="227"/>
      <c r="AD65" s="84">
        <f>SUM(AD45:AD58)</f>
        <v>0</v>
      </c>
      <c r="AE65" s="84">
        <f>SUM(AE45:AE58)</f>
        <v>0</v>
      </c>
    </row>
    <row r="66" spans="1:31" ht="60.75" thickTop="1">
      <c r="A66" s="36" t="s">
        <v>36</v>
      </c>
      <c r="B66" s="17"/>
      <c r="C66" s="13"/>
      <c r="D66" s="17"/>
      <c r="E66" s="14"/>
      <c r="F66" s="247"/>
      <c r="G66" s="279"/>
      <c r="H66" s="280"/>
      <c r="I66" s="299"/>
      <c r="J66" s="311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47"/>
      <c r="AA66" s="311"/>
      <c r="AB66" s="226"/>
      <c r="AD66" s="17">
        <f>AD65*7%</f>
        <v>0</v>
      </c>
      <c r="AE66" s="17">
        <f>AE65*7%</f>
        <v>0</v>
      </c>
    </row>
    <row r="67" spans="1:31" ht="67.5" customHeight="1" thickBot="1">
      <c r="A67" s="38" t="s">
        <v>37</v>
      </c>
      <c r="B67" s="17"/>
      <c r="C67" s="13"/>
      <c r="D67" s="17"/>
      <c r="E67" s="14"/>
      <c r="F67" s="247"/>
      <c r="G67" s="270"/>
      <c r="H67" s="271"/>
      <c r="I67" s="295"/>
      <c r="J67" s="311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247"/>
      <c r="AA67" s="311"/>
      <c r="AB67" s="226"/>
      <c r="AD67" s="90">
        <f>AD65+AD66</f>
        <v>0</v>
      </c>
      <c r="AE67" s="90">
        <f>AE65+AE66</f>
        <v>0</v>
      </c>
    </row>
    <row r="68" spans="1:31" ht="15.75" thickTop="1">
      <c r="A68" s="124" t="s">
        <v>49</v>
      </c>
      <c r="B68" s="376">
        <v>20000</v>
      </c>
      <c r="C68" s="109">
        <v>2</v>
      </c>
      <c r="D68" s="108">
        <f aca="true" t="shared" si="10" ref="D68:D84">B68*C68</f>
        <v>40000</v>
      </c>
      <c r="E68" s="110">
        <f aca="true" t="shared" si="11" ref="E68:E84">D68</f>
        <v>40000</v>
      </c>
      <c r="F68" s="243">
        <v>72100</v>
      </c>
      <c r="G68" s="270"/>
      <c r="H68" s="281"/>
      <c r="I68" s="295"/>
      <c r="J68" s="308" t="s">
        <v>51</v>
      </c>
      <c r="K68" s="110"/>
      <c r="L68" s="110"/>
      <c r="M68" s="110">
        <v>20000</v>
      </c>
      <c r="N68" s="110"/>
      <c r="O68" s="110">
        <f>SUM(K68:N68)</f>
        <v>20000</v>
      </c>
      <c r="P68" s="110"/>
      <c r="Q68" s="110"/>
      <c r="R68" s="110">
        <v>20000</v>
      </c>
      <c r="S68" s="110"/>
      <c r="T68" s="110">
        <f>SUM(P68:S68)</f>
        <v>20000</v>
      </c>
      <c r="U68" s="110"/>
      <c r="V68" s="110"/>
      <c r="W68" s="110"/>
      <c r="X68" s="110"/>
      <c r="Y68" s="143">
        <f aca="true" t="shared" si="12" ref="Y68:Y84">E68-O68-T68</f>
        <v>0</v>
      </c>
      <c r="Z68" s="243">
        <v>72100</v>
      </c>
      <c r="AA68" s="308" t="s">
        <v>51</v>
      </c>
      <c r="AB68" s="229" t="s">
        <v>169</v>
      </c>
      <c r="AD68" s="89"/>
      <c r="AE68" s="89"/>
    </row>
    <row r="69" spans="1:31" ht="27.75" customHeight="1">
      <c r="A69" s="120" t="s">
        <v>112</v>
      </c>
      <c r="B69" s="108">
        <v>2000</v>
      </c>
      <c r="C69" s="109">
        <v>15</v>
      </c>
      <c r="D69" s="108">
        <f t="shared" si="10"/>
        <v>30000</v>
      </c>
      <c r="E69" s="110">
        <f t="shared" si="11"/>
        <v>30000</v>
      </c>
      <c r="F69" s="243">
        <v>72100</v>
      </c>
      <c r="G69" s="270"/>
      <c r="H69" s="281"/>
      <c r="I69" s="295"/>
      <c r="J69" s="308" t="s">
        <v>51</v>
      </c>
      <c r="K69" s="110"/>
      <c r="L69" s="110"/>
      <c r="M69" s="110">
        <v>15000</v>
      </c>
      <c r="N69" s="110"/>
      <c r="O69" s="110">
        <f aca="true" t="shared" si="13" ref="O69:O89">SUM(K69:N69)</f>
        <v>15000</v>
      </c>
      <c r="P69" s="110"/>
      <c r="Q69" s="110"/>
      <c r="R69" s="110">
        <v>15000</v>
      </c>
      <c r="S69" s="110"/>
      <c r="T69" s="110">
        <f aca="true" t="shared" si="14" ref="T69:T89">SUM(P69:S69)</f>
        <v>15000</v>
      </c>
      <c r="U69" s="110"/>
      <c r="V69" s="110"/>
      <c r="W69" s="110"/>
      <c r="X69" s="110"/>
      <c r="Y69" s="143">
        <f t="shared" si="12"/>
        <v>0</v>
      </c>
      <c r="Z69" s="243">
        <v>72100</v>
      </c>
      <c r="AA69" s="308" t="s">
        <v>51</v>
      </c>
      <c r="AB69" s="229" t="s">
        <v>169</v>
      </c>
      <c r="AD69" s="83"/>
      <c r="AE69" s="83"/>
    </row>
    <row r="70" spans="1:31" ht="27" customHeight="1">
      <c r="A70" s="120" t="s">
        <v>113</v>
      </c>
      <c r="B70" s="108">
        <v>2500</v>
      </c>
      <c r="C70" s="109">
        <v>15</v>
      </c>
      <c r="D70" s="108">
        <f t="shared" si="10"/>
        <v>37500</v>
      </c>
      <c r="E70" s="110">
        <f t="shared" si="11"/>
        <v>37500</v>
      </c>
      <c r="F70" s="243">
        <v>72100</v>
      </c>
      <c r="G70" s="270"/>
      <c r="H70" s="281"/>
      <c r="I70" s="295"/>
      <c r="J70" s="308" t="s">
        <v>51</v>
      </c>
      <c r="K70" s="110"/>
      <c r="L70" s="110"/>
      <c r="M70" s="110">
        <v>18750</v>
      </c>
      <c r="N70" s="110"/>
      <c r="O70" s="110">
        <f t="shared" si="13"/>
        <v>18750</v>
      </c>
      <c r="P70" s="110"/>
      <c r="Q70" s="110"/>
      <c r="R70" s="110">
        <v>18750</v>
      </c>
      <c r="S70" s="110"/>
      <c r="T70" s="110">
        <f t="shared" si="14"/>
        <v>18750</v>
      </c>
      <c r="U70" s="110"/>
      <c r="V70" s="110"/>
      <c r="W70" s="110"/>
      <c r="X70" s="110"/>
      <c r="Y70" s="143">
        <f t="shared" si="12"/>
        <v>0</v>
      </c>
      <c r="Z70" s="243">
        <v>72100</v>
      </c>
      <c r="AA70" s="308" t="s">
        <v>51</v>
      </c>
      <c r="AB70" s="229" t="s">
        <v>169</v>
      </c>
      <c r="AD70" s="85"/>
      <c r="AE70" s="83"/>
    </row>
    <row r="71" spans="1:31" ht="27.75" customHeight="1">
      <c r="A71" s="120" t="s">
        <v>114</v>
      </c>
      <c r="B71" s="108">
        <v>9000</v>
      </c>
      <c r="C71" s="109">
        <v>13</v>
      </c>
      <c r="D71" s="108">
        <f t="shared" si="10"/>
        <v>117000</v>
      </c>
      <c r="E71" s="110">
        <f t="shared" si="11"/>
        <v>117000</v>
      </c>
      <c r="F71" s="243">
        <v>72100</v>
      </c>
      <c r="G71" s="270"/>
      <c r="H71" s="281"/>
      <c r="I71" s="295"/>
      <c r="J71" s="308" t="s">
        <v>51</v>
      </c>
      <c r="K71" s="110"/>
      <c r="L71" s="110"/>
      <c r="M71" s="110">
        <v>60000</v>
      </c>
      <c r="N71" s="110"/>
      <c r="O71" s="110">
        <f t="shared" si="13"/>
        <v>60000</v>
      </c>
      <c r="P71" s="110"/>
      <c r="Q71" s="110"/>
      <c r="R71" s="110">
        <v>57000</v>
      </c>
      <c r="S71" s="110"/>
      <c r="T71" s="110">
        <f t="shared" si="14"/>
        <v>57000</v>
      </c>
      <c r="U71" s="110"/>
      <c r="V71" s="110"/>
      <c r="W71" s="110"/>
      <c r="X71" s="110"/>
      <c r="Y71" s="143">
        <f t="shared" si="12"/>
        <v>0</v>
      </c>
      <c r="Z71" s="243">
        <v>72100</v>
      </c>
      <c r="AA71" s="308" t="s">
        <v>51</v>
      </c>
      <c r="AB71" s="229" t="s">
        <v>169</v>
      </c>
      <c r="AD71" s="85"/>
      <c r="AE71" s="83"/>
    </row>
    <row r="72" spans="1:31" ht="15">
      <c r="A72" s="120" t="s">
        <v>115</v>
      </c>
      <c r="B72" s="108">
        <v>1500</v>
      </c>
      <c r="C72" s="109">
        <v>10</v>
      </c>
      <c r="D72" s="108">
        <f t="shared" si="10"/>
        <v>15000</v>
      </c>
      <c r="E72" s="110">
        <f t="shared" si="11"/>
        <v>15000</v>
      </c>
      <c r="F72" s="243">
        <v>72100</v>
      </c>
      <c r="G72" s="270"/>
      <c r="H72" s="281"/>
      <c r="I72" s="295"/>
      <c r="J72" s="308" t="s">
        <v>51</v>
      </c>
      <c r="K72" s="110"/>
      <c r="L72" s="110"/>
      <c r="M72" s="110">
        <v>15000</v>
      </c>
      <c r="N72" s="110"/>
      <c r="O72" s="110">
        <f t="shared" si="13"/>
        <v>15000</v>
      </c>
      <c r="P72" s="110"/>
      <c r="Q72" s="110"/>
      <c r="R72" s="110"/>
      <c r="S72" s="110"/>
      <c r="T72" s="110">
        <f t="shared" si="14"/>
        <v>0</v>
      </c>
      <c r="U72" s="110"/>
      <c r="V72" s="110"/>
      <c r="W72" s="110"/>
      <c r="X72" s="110"/>
      <c r="Y72" s="143">
        <f t="shared" si="12"/>
        <v>0</v>
      </c>
      <c r="Z72" s="243">
        <v>72100</v>
      </c>
      <c r="AA72" s="308" t="s">
        <v>51</v>
      </c>
      <c r="AB72" s="229" t="s">
        <v>169</v>
      </c>
      <c r="AD72" s="85"/>
      <c r="AE72" s="83"/>
    </row>
    <row r="73" spans="1:31" ht="15">
      <c r="A73" s="119" t="s">
        <v>116</v>
      </c>
      <c r="B73" s="108">
        <v>1500</v>
      </c>
      <c r="C73" s="109">
        <v>10</v>
      </c>
      <c r="D73" s="108">
        <f t="shared" si="10"/>
        <v>15000</v>
      </c>
      <c r="E73" s="110">
        <f t="shared" si="11"/>
        <v>15000</v>
      </c>
      <c r="F73" s="243" t="s">
        <v>181</v>
      </c>
      <c r="G73" s="272"/>
      <c r="H73" s="281"/>
      <c r="I73" s="295"/>
      <c r="J73" s="308" t="s">
        <v>51</v>
      </c>
      <c r="K73" s="110"/>
      <c r="L73" s="110"/>
      <c r="M73" s="110">
        <v>15000</v>
      </c>
      <c r="N73" s="110"/>
      <c r="O73" s="110">
        <f t="shared" si="13"/>
        <v>15000</v>
      </c>
      <c r="P73" s="110"/>
      <c r="Q73" s="110"/>
      <c r="R73" s="110"/>
      <c r="S73" s="110"/>
      <c r="T73" s="110">
        <f t="shared" si="14"/>
        <v>0</v>
      </c>
      <c r="U73" s="110"/>
      <c r="V73" s="110"/>
      <c r="W73" s="110"/>
      <c r="X73" s="110"/>
      <c r="Y73" s="143">
        <f t="shared" si="12"/>
        <v>0</v>
      </c>
      <c r="Z73" s="243" t="s">
        <v>181</v>
      </c>
      <c r="AA73" s="308" t="s">
        <v>51</v>
      </c>
      <c r="AB73" s="229" t="s">
        <v>169</v>
      </c>
      <c r="AD73" s="85"/>
      <c r="AE73" s="83"/>
    </row>
    <row r="74" spans="1:31" ht="28.5" customHeight="1">
      <c r="A74" s="119" t="s">
        <v>117</v>
      </c>
      <c r="B74" s="114">
        <v>2500</v>
      </c>
      <c r="C74" s="113">
        <v>10</v>
      </c>
      <c r="D74" s="108">
        <f t="shared" si="10"/>
        <v>25000</v>
      </c>
      <c r="E74" s="121">
        <f t="shared" si="11"/>
        <v>25000</v>
      </c>
      <c r="F74" s="243">
        <v>72100</v>
      </c>
      <c r="G74" s="272"/>
      <c r="H74" s="281"/>
      <c r="I74" s="295"/>
      <c r="J74" s="308" t="s">
        <v>51</v>
      </c>
      <c r="K74" s="121"/>
      <c r="L74" s="121"/>
      <c r="M74" s="121">
        <v>25000</v>
      </c>
      <c r="N74" s="121"/>
      <c r="O74" s="110">
        <f t="shared" si="13"/>
        <v>25000</v>
      </c>
      <c r="P74" s="121"/>
      <c r="Q74" s="121"/>
      <c r="R74" s="121"/>
      <c r="S74" s="121"/>
      <c r="T74" s="110">
        <f t="shared" si="14"/>
        <v>0</v>
      </c>
      <c r="U74" s="121"/>
      <c r="V74" s="121"/>
      <c r="W74" s="121"/>
      <c r="X74" s="121"/>
      <c r="Y74" s="143">
        <f t="shared" si="12"/>
        <v>0</v>
      </c>
      <c r="Z74" s="243">
        <v>72100</v>
      </c>
      <c r="AA74" s="308" t="s">
        <v>51</v>
      </c>
      <c r="AB74" s="229" t="s">
        <v>169</v>
      </c>
      <c r="AD74" s="85"/>
      <c r="AE74" s="83"/>
    </row>
    <row r="75" spans="1:31" ht="24.75" customHeight="1">
      <c r="A75" s="119" t="s">
        <v>118</v>
      </c>
      <c r="B75" s="114">
        <v>2500</v>
      </c>
      <c r="C75" s="113">
        <v>12</v>
      </c>
      <c r="D75" s="108">
        <f>B75*C75</f>
        <v>30000</v>
      </c>
      <c r="E75" s="121">
        <f t="shared" si="11"/>
        <v>30000</v>
      </c>
      <c r="F75" s="243" t="s">
        <v>181</v>
      </c>
      <c r="G75" s="272"/>
      <c r="H75" s="281"/>
      <c r="I75" s="295"/>
      <c r="J75" s="308" t="s">
        <v>51</v>
      </c>
      <c r="K75" s="121"/>
      <c r="L75" s="121"/>
      <c r="M75" s="121">
        <v>15000</v>
      </c>
      <c r="N75" s="121"/>
      <c r="O75" s="110">
        <f t="shared" si="13"/>
        <v>15000</v>
      </c>
      <c r="P75" s="121"/>
      <c r="Q75" s="121"/>
      <c r="R75" s="121">
        <v>15000</v>
      </c>
      <c r="S75" s="121"/>
      <c r="T75" s="110">
        <f t="shared" si="14"/>
        <v>15000</v>
      </c>
      <c r="U75" s="121"/>
      <c r="V75" s="121"/>
      <c r="W75" s="121"/>
      <c r="X75" s="121"/>
      <c r="Y75" s="143">
        <f t="shared" si="12"/>
        <v>0</v>
      </c>
      <c r="Z75" s="243" t="s">
        <v>181</v>
      </c>
      <c r="AA75" s="308" t="s">
        <v>51</v>
      </c>
      <c r="AB75" s="229" t="s">
        <v>169</v>
      </c>
      <c r="AD75" s="85"/>
      <c r="AE75" s="83"/>
    </row>
    <row r="76" spans="1:31" ht="24.75" customHeight="1">
      <c r="A76" s="119" t="s">
        <v>119</v>
      </c>
      <c r="B76" s="114">
        <v>3500</v>
      </c>
      <c r="C76" s="113">
        <v>50</v>
      </c>
      <c r="D76" s="108">
        <f t="shared" si="10"/>
        <v>175000</v>
      </c>
      <c r="E76" s="121">
        <f t="shared" si="11"/>
        <v>175000</v>
      </c>
      <c r="F76" s="243" t="s">
        <v>181</v>
      </c>
      <c r="G76" s="272"/>
      <c r="H76" s="281"/>
      <c r="I76" s="295"/>
      <c r="J76" s="308" t="s">
        <v>51</v>
      </c>
      <c r="K76" s="121"/>
      <c r="L76" s="121"/>
      <c r="M76" s="121">
        <v>100000</v>
      </c>
      <c r="N76" s="121"/>
      <c r="O76" s="110">
        <f t="shared" si="13"/>
        <v>100000</v>
      </c>
      <c r="P76" s="121"/>
      <c r="Q76" s="121"/>
      <c r="R76" s="121">
        <v>75000</v>
      </c>
      <c r="S76" s="121"/>
      <c r="T76" s="110">
        <f t="shared" si="14"/>
        <v>75000</v>
      </c>
      <c r="U76" s="121"/>
      <c r="V76" s="121"/>
      <c r="W76" s="121"/>
      <c r="X76" s="121"/>
      <c r="Y76" s="143">
        <f t="shared" si="12"/>
        <v>0</v>
      </c>
      <c r="Z76" s="243" t="s">
        <v>181</v>
      </c>
      <c r="AA76" s="308" t="s">
        <v>51</v>
      </c>
      <c r="AB76" s="229" t="s">
        <v>169</v>
      </c>
      <c r="AD76" s="85"/>
      <c r="AE76" s="83"/>
    </row>
    <row r="77" spans="1:31" ht="24.75" customHeight="1">
      <c r="A77" s="119" t="s">
        <v>120</v>
      </c>
      <c r="B77" s="108">
        <v>2500</v>
      </c>
      <c r="C77" s="109">
        <v>50</v>
      </c>
      <c r="D77" s="108">
        <f t="shared" si="10"/>
        <v>125000</v>
      </c>
      <c r="E77" s="110">
        <f t="shared" si="11"/>
        <v>125000</v>
      </c>
      <c r="F77" s="243" t="s">
        <v>181</v>
      </c>
      <c r="G77" s="272"/>
      <c r="H77" s="281"/>
      <c r="I77" s="295"/>
      <c r="J77" s="308" t="s">
        <v>51</v>
      </c>
      <c r="K77" s="110"/>
      <c r="L77" s="110"/>
      <c r="M77" s="110">
        <v>65000</v>
      </c>
      <c r="N77" s="110"/>
      <c r="O77" s="110">
        <f t="shared" si="13"/>
        <v>65000</v>
      </c>
      <c r="P77" s="110"/>
      <c r="Q77" s="110"/>
      <c r="R77" s="110">
        <v>60000</v>
      </c>
      <c r="S77" s="110"/>
      <c r="T77" s="110">
        <f t="shared" si="14"/>
        <v>60000</v>
      </c>
      <c r="U77" s="110"/>
      <c r="V77" s="110"/>
      <c r="W77" s="110"/>
      <c r="X77" s="110"/>
      <c r="Y77" s="143">
        <f t="shared" si="12"/>
        <v>0</v>
      </c>
      <c r="Z77" s="243" t="s">
        <v>181</v>
      </c>
      <c r="AA77" s="308" t="s">
        <v>51</v>
      </c>
      <c r="AB77" s="229" t="s">
        <v>169</v>
      </c>
      <c r="AD77" s="85"/>
      <c r="AE77" s="83"/>
    </row>
    <row r="78" spans="1:31" ht="24.75" customHeight="1">
      <c r="A78" s="122" t="s">
        <v>121</v>
      </c>
      <c r="B78" s="114">
        <v>12000</v>
      </c>
      <c r="C78" s="113">
        <v>4</v>
      </c>
      <c r="D78" s="108">
        <f t="shared" si="10"/>
        <v>48000</v>
      </c>
      <c r="E78" s="121">
        <f t="shared" si="11"/>
        <v>48000</v>
      </c>
      <c r="F78" s="245">
        <v>71200</v>
      </c>
      <c r="G78" s="270"/>
      <c r="H78" s="281"/>
      <c r="I78" s="295"/>
      <c r="J78" s="308" t="s">
        <v>51</v>
      </c>
      <c r="K78" s="121"/>
      <c r="L78" s="121"/>
      <c r="M78" s="121">
        <v>24000</v>
      </c>
      <c r="N78" s="121"/>
      <c r="O78" s="110">
        <f t="shared" si="13"/>
        <v>24000</v>
      </c>
      <c r="P78" s="121"/>
      <c r="Q78" s="121"/>
      <c r="R78" s="121">
        <v>24000</v>
      </c>
      <c r="S78" s="121"/>
      <c r="T78" s="110">
        <f t="shared" si="14"/>
        <v>24000</v>
      </c>
      <c r="U78" s="121"/>
      <c r="V78" s="121"/>
      <c r="W78" s="121"/>
      <c r="X78" s="121"/>
      <c r="Y78" s="143">
        <f t="shared" si="12"/>
        <v>0</v>
      </c>
      <c r="Z78" s="245">
        <v>71200</v>
      </c>
      <c r="AA78" s="308" t="s">
        <v>51</v>
      </c>
      <c r="AB78" s="229" t="s">
        <v>169</v>
      </c>
      <c r="AD78" s="85"/>
      <c r="AE78" s="83"/>
    </row>
    <row r="79" spans="1:31" ht="24.75" customHeight="1">
      <c r="A79" s="122" t="s">
        <v>122</v>
      </c>
      <c r="B79" s="114">
        <v>12000</v>
      </c>
      <c r="C79" s="113">
        <v>2</v>
      </c>
      <c r="D79" s="108">
        <f t="shared" si="10"/>
        <v>24000</v>
      </c>
      <c r="E79" s="121">
        <f t="shared" si="11"/>
        <v>24000</v>
      </c>
      <c r="F79" s="245">
        <v>71200</v>
      </c>
      <c r="G79" s="270"/>
      <c r="H79" s="281"/>
      <c r="I79" s="295"/>
      <c r="J79" s="308" t="s">
        <v>51</v>
      </c>
      <c r="K79" s="121"/>
      <c r="L79" s="121"/>
      <c r="M79" s="121">
        <v>12000</v>
      </c>
      <c r="N79" s="121"/>
      <c r="O79" s="110">
        <f t="shared" si="13"/>
        <v>12000</v>
      </c>
      <c r="P79" s="121"/>
      <c r="Q79" s="121"/>
      <c r="R79" s="121">
        <v>12000</v>
      </c>
      <c r="S79" s="121"/>
      <c r="T79" s="110">
        <f t="shared" si="14"/>
        <v>12000</v>
      </c>
      <c r="U79" s="121"/>
      <c r="V79" s="121"/>
      <c r="W79" s="121"/>
      <c r="X79" s="121"/>
      <c r="Y79" s="143">
        <f t="shared" si="12"/>
        <v>0</v>
      </c>
      <c r="Z79" s="245">
        <v>71200</v>
      </c>
      <c r="AA79" s="308" t="s">
        <v>51</v>
      </c>
      <c r="AB79" s="229" t="s">
        <v>169</v>
      </c>
      <c r="AD79" s="85"/>
      <c r="AE79" s="83"/>
    </row>
    <row r="80" spans="1:31" ht="15">
      <c r="A80" s="122" t="s">
        <v>123</v>
      </c>
      <c r="B80" s="114">
        <v>12000</v>
      </c>
      <c r="C80" s="113">
        <v>3</v>
      </c>
      <c r="D80" s="108">
        <f t="shared" si="10"/>
        <v>36000</v>
      </c>
      <c r="E80" s="121">
        <f t="shared" si="11"/>
        <v>36000</v>
      </c>
      <c r="F80" s="245">
        <v>71200</v>
      </c>
      <c r="G80" s="270"/>
      <c r="H80" s="281"/>
      <c r="I80" s="295"/>
      <c r="J80" s="308" t="s">
        <v>51</v>
      </c>
      <c r="K80" s="121"/>
      <c r="L80" s="121"/>
      <c r="M80" s="121">
        <v>18000</v>
      </c>
      <c r="N80" s="121"/>
      <c r="O80" s="110">
        <f t="shared" si="13"/>
        <v>18000</v>
      </c>
      <c r="P80" s="121"/>
      <c r="Q80" s="121"/>
      <c r="R80" s="121">
        <v>18000</v>
      </c>
      <c r="S80" s="121"/>
      <c r="T80" s="110">
        <f t="shared" si="14"/>
        <v>18000</v>
      </c>
      <c r="U80" s="121"/>
      <c r="V80" s="121"/>
      <c r="W80" s="121"/>
      <c r="X80" s="121"/>
      <c r="Y80" s="143">
        <f t="shared" si="12"/>
        <v>0</v>
      </c>
      <c r="Z80" s="245">
        <v>71200</v>
      </c>
      <c r="AA80" s="308" t="s">
        <v>51</v>
      </c>
      <c r="AB80" s="229" t="s">
        <v>169</v>
      </c>
      <c r="AD80" s="85"/>
      <c r="AE80" s="83"/>
    </row>
    <row r="81" spans="1:31" ht="15">
      <c r="A81" s="122" t="s">
        <v>124</v>
      </c>
      <c r="B81" s="114">
        <v>200</v>
      </c>
      <c r="C81" s="113">
        <v>120</v>
      </c>
      <c r="D81" s="108">
        <f t="shared" si="10"/>
        <v>24000</v>
      </c>
      <c r="E81" s="121">
        <f t="shared" si="11"/>
        <v>24000</v>
      </c>
      <c r="F81" s="245">
        <v>71300</v>
      </c>
      <c r="G81" s="270"/>
      <c r="H81" s="281"/>
      <c r="I81" s="295"/>
      <c r="J81" s="308" t="s">
        <v>51</v>
      </c>
      <c r="K81" s="121"/>
      <c r="L81" s="121"/>
      <c r="M81" s="121">
        <v>12000</v>
      </c>
      <c r="N81" s="121"/>
      <c r="O81" s="110">
        <f t="shared" si="13"/>
        <v>12000</v>
      </c>
      <c r="P81" s="121"/>
      <c r="Q81" s="121"/>
      <c r="R81" s="121">
        <v>12000</v>
      </c>
      <c r="S81" s="121"/>
      <c r="T81" s="110">
        <f t="shared" si="14"/>
        <v>12000</v>
      </c>
      <c r="U81" s="121"/>
      <c r="V81" s="121"/>
      <c r="W81" s="121"/>
      <c r="X81" s="121"/>
      <c r="Y81" s="143">
        <f t="shared" si="12"/>
        <v>0</v>
      </c>
      <c r="Z81" s="245">
        <v>71300</v>
      </c>
      <c r="AA81" s="308" t="s">
        <v>51</v>
      </c>
      <c r="AB81" s="229" t="s">
        <v>169</v>
      </c>
      <c r="AD81" s="85"/>
      <c r="AE81" s="83"/>
    </row>
    <row r="82" spans="1:31" ht="15">
      <c r="A82" s="122" t="s">
        <v>125</v>
      </c>
      <c r="B82" s="114">
        <v>4500</v>
      </c>
      <c r="C82" s="113">
        <v>8</v>
      </c>
      <c r="D82" s="108">
        <f t="shared" si="10"/>
        <v>36000</v>
      </c>
      <c r="E82" s="121">
        <f t="shared" si="11"/>
        <v>36000</v>
      </c>
      <c r="F82" s="245">
        <v>71200</v>
      </c>
      <c r="G82" s="270"/>
      <c r="H82" s="281"/>
      <c r="I82" s="295"/>
      <c r="J82" s="308" t="s">
        <v>51</v>
      </c>
      <c r="K82" s="121"/>
      <c r="L82" s="121"/>
      <c r="M82" s="121">
        <v>18000</v>
      </c>
      <c r="N82" s="121"/>
      <c r="O82" s="110">
        <f t="shared" si="13"/>
        <v>18000</v>
      </c>
      <c r="P82" s="121"/>
      <c r="Q82" s="121"/>
      <c r="R82" s="121">
        <v>18000</v>
      </c>
      <c r="S82" s="121"/>
      <c r="T82" s="110">
        <f t="shared" si="14"/>
        <v>18000</v>
      </c>
      <c r="U82" s="121"/>
      <c r="V82" s="121"/>
      <c r="W82" s="121"/>
      <c r="X82" s="121"/>
      <c r="Y82" s="143">
        <f t="shared" si="12"/>
        <v>0</v>
      </c>
      <c r="Z82" s="245">
        <v>71200</v>
      </c>
      <c r="AA82" s="308" t="s">
        <v>51</v>
      </c>
      <c r="AB82" s="229" t="s">
        <v>169</v>
      </c>
      <c r="AD82" s="85"/>
      <c r="AE82" s="83"/>
    </row>
    <row r="83" spans="1:31" ht="15">
      <c r="A83" s="122" t="s">
        <v>126</v>
      </c>
      <c r="B83" s="114">
        <v>4600</v>
      </c>
      <c r="C83" s="113">
        <v>24</v>
      </c>
      <c r="D83" s="108">
        <f t="shared" si="10"/>
        <v>110400</v>
      </c>
      <c r="E83" s="110">
        <f t="shared" si="11"/>
        <v>110400</v>
      </c>
      <c r="F83" s="245">
        <v>71300</v>
      </c>
      <c r="G83" s="270"/>
      <c r="H83" s="281"/>
      <c r="I83" s="295"/>
      <c r="J83" s="308" t="s">
        <v>51</v>
      </c>
      <c r="K83" s="110"/>
      <c r="L83" s="110"/>
      <c r="M83" s="110">
        <v>55200</v>
      </c>
      <c r="N83" s="110"/>
      <c r="O83" s="110">
        <f t="shared" si="13"/>
        <v>55200</v>
      </c>
      <c r="P83" s="110"/>
      <c r="Q83" s="110"/>
      <c r="R83" s="110">
        <v>55200</v>
      </c>
      <c r="S83" s="110"/>
      <c r="T83" s="110">
        <f t="shared" si="14"/>
        <v>55200</v>
      </c>
      <c r="U83" s="110"/>
      <c r="V83" s="110"/>
      <c r="W83" s="110"/>
      <c r="X83" s="110"/>
      <c r="Y83" s="143">
        <f t="shared" si="12"/>
        <v>0</v>
      </c>
      <c r="Z83" s="245">
        <v>71300</v>
      </c>
      <c r="AA83" s="308" t="s">
        <v>51</v>
      </c>
      <c r="AB83" s="229" t="s">
        <v>169</v>
      </c>
      <c r="AD83" s="85"/>
      <c r="AE83" s="83"/>
    </row>
    <row r="84" spans="1:31" ht="15">
      <c r="A84" s="122" t="s">
        <v>127</v>
      </c>
      <c r="B84" s="114">
        <v>2545</v>
      </c>
      <c r="C84" s="113">
        <v>24</v>
      </c>
      <c r="D84" s="108">
        <f t="shared" si="10"/>
        <v>61080</v>
      </c>
      <c r="E84" s="121">
        <f t="shared" si="11"/>
        <v>61080</v>
      </c>
      <c r="F84" s="245">
        <v>71300</v>
      </c>
      <c r="G84" s="270"/>
      <c r="H84" s="271"/>
      <c r="I84" s="295"/>
      <c r="J84" s="308" t="s">
        <v>51</v>
      </c>
      <c r="K84" s="121"/>
      <c r="L84" s="121"/>
      <c r="M84" s="121">
        <v>30540</v>
      </c>
      <c r="N84" s="121"/>
      <c r="O84" s="110">
        <f t="shared" si="13"/>
        <v>30540</v>
      </c>
      <c r="P84" s="121"/>
      <c r="Q84" s="121"/>
      <c r="R84" s="121">
        <v>30540</v>
      </c>
      <c r="S84" s="121"/>
      <c r="T84" s="110">
        <f t="shared" si="14"/>
        <v>30540</v>
      </c>
      <c r="U84" s="121"/>
      <c r="V84" s="121"/>
      <c r="W84" s="121"/>
      <c r="X84" s="121"/>
      <c r="Y84" s="143">
        <f t="shared" si="12"/>
        <v>0</v>
      </c>
      <c r="Z84" s="245">
        <v>71300</v>
      </c>
      <c r="AA84" s="308" t="s">
        <v>51</v>
      </c>
      <c r="AB84" s="229" t="s">
        <v>169</v>
      </c>
      <c r="AD84" s="85"/>
      <c r="AE84" s="83"/>
    </row>
    <row r="85" spans="1:31" ht="39">
      <c r="A85" s="133" t="s">
        <v>38</v>
      </c>
      <c r="B85" s="114"/>
      <c r="C85" s="113"/>
      <c r="D85" s="114"/>
      <c r="E85" s="121"/>
      <c r="F85" s="245"/>
      <c r="G85" s="270"/>
      <c r="H85" s="271"/>
      <c r="I85" s="295"/>
      <c r="J85" s="309"/>
      <c r="K85" s="121"/>
      <c r="L85" s="121"/>
      <c r="M85" s="121"/>
      <c r="N85" s="121"/>
      <c r="O85" s="110"/>
      <c r="P85" s="121"/>
      <c r="Q85" s="121"/>
      <c r="R85" s="121"/>
      <c r="S85" s="121"/>
      <c r="T85" s="110"/>
      <c r="U85" s="121"/>
      <c r="V85" s="121"/>
      <c r="W85" s="121"/>
      <c r="X85" s="121"/>
      <c r="Y85" s="143"/>
      <c r="Z85" s="245"/>
      <c r="AA85" s="309"/>
      <c r="AB85" s="230"/>
      <c r="AD85" s="85"/>
      <c r="AE85" s="83"/>
    </row>
    <row r="86" spans="1:31" ht="25.5">
      <c r="A86" s="206" t="s">
        <v>160</v>
      </c>
      <c r="B86" s="121">
        <v>20000</v>
      </c>
      <c r="C86" s="113" t="s">
        <v>2</v>
      </c>
      <c r="D86" s="121">
        <f>B86</f>
        <v>20000</v>
      </c>
      <c r="E86" s="121">
        <f>D86</f>
        <v>20000</v>
      </c>
      <c r="F86" s="245">
        <v>71300</v>
      </c>
      <c r="G86" s="270"/>
      <c r="H86" s="271"/>
      <c r="I86" s="295"/>
      <c r="J86" s="309" t="s">
        <v>187</v>
      </c>
      <c r="K86" s="121"/>
      <c r="L86" s="121"/>
      <c r="M86" s="121">
        <v>10000</v>
      </c>
      <c r="N86" s="121"/>
      <c r="O86" s="110">
        <f t="shared" si="13"/>
        <v>10000</v>
      </c>
      <c r="P86" s="121"/>
      <c r="Q86" s="121"/>
      <c r="R86" s="121">
        <v>10000</v>
      </c>
      <c r="S86" s="121"/>
      <c r="T86" s="110">
        <f t="shared" si="14"/>
        <v>10000</v>
      </c>
      <c r="U86" s="121"/>
      <c r="V86" s="121"/>
      <c r="W86" s="121"/>
      <c r="X86" s="121"/>
      <c r="Y86" s="143">
        <f>E86-O86-T86</f>
        <v>0</v>
      </c>
      <c r="Z86" s="245">
        <v>71300</v>
      </c>
      <c r="AA86" s="309" t="s">
        <v>187</v>
      </c>
      <c r="AB86" s="229" t="s">
        <v>169</v>
      </c>
      <c r="AD86" s="83"/>
      <c r="AE86" s="83"/>
    </row>
    <row r="87" spans="1:31" ht="25.5">
      <c r="A87" s="207" t="s">
        <v>161</v>
      </c>
      <c r="B87" s="121">
        <v>70000</v>
      </c>
      <c r="C87" s="113" t="s">
        <v>2</v>
      </c>
      <c r="D87" s="121">
        <f>B87</f>
        <v>70000</v>
      </c>
      <c r="E87" s="121">
        <f>D87</f>
        <v>70000</v>
      </c>
      <c r="F87" s="245">
        <v>71300</v>
      </c>
      <c r="G87" s="272">
        <v>70000</v>
      </c>
      <c r="H87" s="271"/>
      <c r="I87" s="295"/>
      <c r="J87" s="309" t="s">
        <v>187</v>
      </c>
      <c r="K87" s="121"/>
      <c r="L87" s="121"/>
      <c r="M87" s="121">
        <v>25000</v>
      </c>
      <c r="N87" s="121"/>
      <c r="O87" s="110">
        <f t="shared" si="13"/>
        <v>25000</v>
      </c>
      <c r="P87" s="121"/>
      <c r="Q87" s="121"/>
      <c r="R87" s="121">
        <v>25000</v>
      </c>
      <c r="S87" s="121"/>
      <c r="T87" s="110">
        <f t="shared" si="14"/>
        <v>25000</v>
      </c>
      <c r="U87" s="121"/>
      <c r="V87" s="121"/>
      <c r="W87" s="121">
        <v>20000</v>
      </c>
      <c r="X87" s="121"/>
      <c r="Y87" s="143">
        <f>E87-O87-T87</f>
        <v>20000</v>
      </c>
      <c r="Z87" s="245">
        <v>71300</v>
      </c>
      <c r="AA87" s="309" t="s">
        <v>187</v>
      </c>
      <c r="AB87" s="229" t="s">
        <v>169</v>
      </c>
      <c r="AD87" s="83"/>
      <c r="AE87" s="83"/>
    </row>
    <row r="88" spans="1:31" ht="15">
      <c r="A88" s="207" t="s">
        <v>162</v>
      </c>
      <c r="B88" s="121">
        <v>500000</v>
      </c>
      <c r="C88" s="113" t="s">
        <v>2</v>
      </c>
      <c r="D88" s="121">
        <f>B88</f>
        <v>500000</v>
      </c>
      <c r="E88" s="121">
        <f>D88</f>
        <v>500000</v>
      </c>
      <c r="F88" s="245">
        <v>72600</v>
      </c>
      <c r="G88" s="282">
        <v>130000</v>
      </c>
      <c r="H88" s="271"/>
      <c r="I88" s="295"/>
      <c r="J88" s="309" t="s">
        <v>187</v>
      </c>
      <c r="K88" s="121"/>
      <c r="L88" s="121"/>
      <c r="M88" s="121">
        <v>50000</v>
      </c>
      <c r="N88" s="121"/>
      <c r="O88" s="110">
        <f t="shared" si="13"/>
        <v>50000</v>
      </c>
      <c r="P88" s="121"/>
      <c r="Q88" s="121"/>
      <c r="R88" s="121">
        <v>250000</v>
      </c>
      <c r="S88" s="121"/>
      <c r="T88" s="110">
        <f t="shared" si="14"/>
        <v>250000</v>
      </c>
      <c r="U88" s="121"/>
      <c r="V88" s="121"/>
      <c r="W88" s="121">
        <v>200000</v>
      </c>
      <c r="X88" s="121"/>
      <c r="Y88" s="143">
        <f>E88-O88-T88</f>
        <v>200000</v>
      </c>
      <c r="Z88" s="245">
        <v>72600</v>
      </c>
      <c r="AA88" s="309" t="s">
        <v>187</v>
      </c>
      <c r="AB88" s="229" t="s">
        <v>169</v>
      </c>
      <c r="AD88" s="83"/>
      <c r="AE88" s="83"/>
    </row>
    <row r="89" spans="1:31" ht="15">
      <c r="A89" s="207" t="s">
        <v>163</v>
      </c>
      <c r="B89" s="121">
        <v>30000</v>
      </c>
      <c r="C89" s="113" t="s">
        <v>2</v>
      </c>
      <c r="D89" s="121">
        <f>B89</f>
        <v>30000</v>
      </c>
      <c r="E89" s="121">
        <f>D89</f>
        <v>30000</v>
      </c>
      <c r="F89" s="243">
        <v>72100</v>
      </c>
      <c r="G89" s="270"/>
      <c r="H89" s="271"/>
      <c r="I89" s="295"/>
      <c r="J89" s="309" t="s">
        <v>187</v>
      </c>
      <c r="K89" s="121"/>
      <c r="L89" s="121"/>
      <c r="M89" s="121">
        <v>10000</v>
      </c>
      <c r="N89" s="121"/>
      <c r="O89" s="110">
        <f t="shared" si="13"/>
        <v>10000</v>
      </c>
      <c r="P89" s="121"/>
      <c r="Q89" s="121"/>
      <c r="R89" s="121">
        <v>10000</v>
      </c>
      <c r="S89" s="121"/>
      <c r="T89" s="110">
        <f t="shared" si="14"/>
        <v>10000</v>
      </c>
      <c r="U89" s="121"/>
      <c r="V89" s="121"/>
      <c r="W89" s="121">
        <v>10000</v>
      </c>
      <c r="X89" s="121"/>
      <c r="Y89" s="143">
        <f>E89-O89-T89</f>
        <v>10000</v>
      </c>
      <c r="Z89" s="243">
        <v>72100</v>
      </c>
      <c r="AA89" s="309" t="s">
        <v>187</v>
      </c>
      <c r="AB89" s="229" t="s">
        <v>169</v>
      </c>
      <c r="AD89" s="83"/>
      <c r="AE89" s="83"/>
    </row>
    <row r="90" spans="1:31" ht="15">
      <c r="A90" s="29" t="s">
        <v>17</v>
      </c>
      <c r="B90" s="17"/>
      <c r="C90" s="13"/>
      <c r="D90" s="17"/>
      <c r="E90" s="33">
        <f>SUM(E68:E89)</f>
        <v>1568980</v>
      </c>
      <c r="F90" s="246"/>
      <c r="G90" s="275">
        <f>SUM(G68:G89)</f>
        <v>200000</v>
      </c>
      <c r="H90" s="276"/>
      <c r="I90" s="297">
        <f>SUM(I68:I89)</f>
        <v>0</v>
      </c>
      <c r="J90" s="310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246"/>
      <c r="AA90" s="310"/>
      <c r="AB90" s="225"/>
      <c r="AD90" s="83"/>
      <c r="AE90" s="83"/>
    </row>
    <row r="91" spans="1:31" ht="15">
      <c r="A91" s="27" t="s">
        <v>45</v>
      </c>
      <c r="B91" s="17"/>
      <c r="C91" s="13"/>
      <c r="D91" s="17"/>
      <c r="E91" s="14">
        <f>(E90-G90)*7%</f>
        <v>95828.6</v>
      </c>
      <c r="F91" s="247"/>
      <c r="G91" s="272"/>
      <c r="H91" s="274"/>
      <c r="I91" s="296">
        <f>I90*7%</f>
        <v>0</v>
      </c>
      <c r="J91" s="311"/>
      <c r="K91" s="14"/>
      <c r="L91" s="14">
        <f>SUM(L68:L89)*8.0707%</f>
        <v>0</v>
      </c>
      <c r="M91" s="14">
        <f>SUM(M68:M89)*8.0707%</f>
        <v>49512.93743</v>
      </c>
      <c r="N91" s="14">
        <f>SUM(N68:N89)*8.0707%</f>
        <v>0</v>
      </c>
      <c r="O91" s="143">
        <f>SUM(K91:N91)</f>
        <v>49512.93743</v>
      </c>
      <c r="P91" s="14"/>
      <c r="Q91" s="14">
        <f>SUM(Q68:Q89)*8.0707%</f>
        <v>0</v>
      </c>
      <c r="R91" s="14">
        <f>SUM(R68:R89)*8.0707%</f>
        <v>58552.12143</v>
      </c>
      <c r="S91" s="14">
        <f>SUM(S68:S89)*8.0707%</f>
        <v>0</v>
      </c>
      <c r="T91" s="143">
        <f>SUM(P91:S91)</f>
        <v>58552.12143</v>
      </c>
      <c r="U91" s="14"/>
      <c r="V91" s="14">
        <f>SUM(V68:V89)*8.0707%</f>
        <v>0</v>
      </c>
      <c r="W91" s="14">
        <f>SUM(W68:W89)*8.0707%</f>
        <v>18562.61</v>
      </c>
      <c r="X91" s="14">
        <f>SUM(X68:X89)*8.0707%</f>
        <v>0</v>
      </c>
      <c r="Y91" s="14">
        <f>SUM(V91:X91)</f>
        <v>18562.61</v>
      </c>
      <c r="Z91" s="247"/>
      <c r="AA91" s="311"/>
      <c r="AB91" s="226"/>
      <c r="AD91" s="83"/>
      <c r="AE91" s="83"/>
    </row>
    <row r="92" spans="1:31" ht="15.75" thickBot="1">
      <c r="A92" s="28" t="s">
        <v>204</v>
      </c>
      <c r="B92" s="31"/>
      <c r="C92" s="32"/>
      <c r="D92" s="31"/>
      <c r="E92" s="34">
        <f>E90+E91</f>
        <v>1664808.6</v>
      </c>
      <c r="F92" s="248"/>
      <c r="G92" s="277">
        <f>G90+G91</f>
        <v>200000</v>
      </c>
      <c r="H92" s="278"/>
      <c r="I92" s="298">
        <f>I90+I91</f>
        <v>0</v>
      </c>
      <c r="J92" s="312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248"/>
      <c r="AA92" s="312"/>
      <c r="AB92" s="227"/>
      <c r="AD92" s="84"/>
      <c r="AE92" s="84">
        <f>SUM(AE70:AE91)</f>
        <v>0</v>
      </c>
    </row>
    <row r="93" spans="1:31" ht="15.75" thickTop="1">
      <c r="A93" s="49"/>
      <c r="B93" s="51"/>
      <c r="C93" s="48"/>
      <c r="D93" s="52"/>
      <c r="E93" s="50"/>
      <c r="F93" s="251"/>
      <c r="G93" s="279"/>
      <c r="H93" s="280"/>
      <c r="I93" s="299"/>
      <c r="J93" s="314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251"/>
      <c r="AA93" s="314"/>
      <c r="AB93" s="231"/>
      <c r="AD93" s="17"/>
      <c r="AE93" s="17">
        <f>AE92*7%</f>
        <v>0</v>
      </c>
    </row>
    <row r="94" spans="1:31" ht="15.75" thickBot="1">
      <c r="A94" s="36" t="s">
        <v>70</v>
      </c>
      <c r="B94" s="51"/>
      <c r="C94" s="48"/>
      <c r="D94" s="52"/>
      <c r="E94" s="50"/>
      <c r="F94" s="251"/>
      <c r="G94" s="270"/>
      <c r="H94" s="271"/>
      <c r="I94" s="295"/>
      <c r="J94" s="314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251"/>
      <c r="AA94" s="314"/>
      <c r="AB94" s="231"/>
      <c r="AD94" s="90"/>
      <c r="AE94" s="90">
        <f>AE92+AE93</f>
        <v>0</v>
      </c>
    </row>
    <row r="95" spans="1:31" ht="27" thickTop="1">
      <c r="A95" s="37" t="s">
        <v>71</v>
      </c>
      <c r="B95" s="51"/>
      <c r="C95" s="48"/>
      <c r="D95" s="52"/>
      <c r="E95" s="50"/>
      <c r="F95" s="251"/>
      <c r="G95" s="270"/>
      <c r="H95" s="271"/>
      <c r="I95" s="295"/>
      <c r="J95" s="314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251"/>
      <c r="AA95" s="314"/>
      <c r="AB95" s="231"/>
      <c r="AD95" s="89"/>
      <c r="AE95" s="89"/>
    </row>
    <row r="96" spans="1:31" ht="15">
      <c r="A96" s="118" t="s">
        <v>72</v>
      </c>
      <c r="B96" s="114">
        <v>50000</v>
      </c>
      <c r="C96" s="113">
        <v>2</v>
      </c>
      <c r="D96" s="114">
        <f>B96*C96</f>
        <v>100000</v>
      </c>
      <c r="E96" s="50">
        <v>100000</v>
      </c>
      <c r="F96" s="251">
        <v>72600</v>
      </c>
      <c r="G96" s="270"/>
      <c r="H96" s="271"/>
      <c r="I96" s="295"/>
      <c r="J96" s="314" t="s">
        <v>187</v>
      </c>
      <c r="K96" s="50"/>
      <c r="L96" s="50">
        <v>50000</v>
      </c>
      <c r="M96" s="50"/>
      <c r="N96" s="50"/>
      <c r="O96" s="50">
        <f>SUM(K96:N96)</f>
        <v>50000</v>
      </c>
      <c r="P96" s="50"/>
      <c r="Q96" s="50">
        <v>50000</v>
      </c>
      <c r="R96" s="50"/>
      <c r="S96" s="50"/>
      <c r="T96" s="50">
        <f>SUM(P96:S96)</f>
        <v>50000</v>
      </c>
      <c r="U96" s="50"/>
      <c r="V96" s="50"/>
      <c r="W96" s="50"/>
      <c r="X96" s="50"/>
      <c r="Y96" s="143">
        <f aca="true" t="shared" si="15" ref="Y96:Y106">E96-O96-T96</f>
        <v>0</v>
      </c>
      <c r="Z96" s="251">
        <v>72600</v>
      </c>
      <c r="AA96" s="314" t="s">
        <v>187</v>
      </c>
      <c r="AB96" s="231" t="s">
        <v>176</v>
      </c>
      <c r="AD96" s="83"/>
      <c r="AE96" s="83"/>
    </row>
    <row r="97" spans="1:31" ht="15">
      <c r="A97" s="117" t="s">
        <v>73</v>
      </c>
      <c r="B97" s="114">
        <v>20000</v>
      </c>
      <c r="C97" s="48">
        <v>5</v>
      </c>
      <c r="D97" s="114">
        <f>B97*C97</f>
        <v>100000</v>
      </c>
      <c r="E97" s="50">
        <v>100000</v>
      </c>
      <c r="F97" s="251">
        <v>72600</v>
      </c>
      <c r="G97" s="270"/>
      <c r="H97" s="271"/>
      <c r="I97" s="295"/>
      <c r="J97" s="314" t="s">
        <v>187</v>
      </c>
      <c r="K97" s="50"/>
      <c r="L97" s="50">
        <v>35000</v>
      </c>
      <c r="M97" s="50"/>
      <c r="N97" s="50"/>
      <c r="O97" s="50">
        <f aca="true" t="shared" si="16" ref="O97:O106">SUM(K97:N97)</f>
        <v>35000</v>
      </c>
      <c r="P97" s="50"/>
      <c r="Q97" s="50">
        <v>35000</v>
      </c>
      <c r="R97" s="50"/>
      <c r="S97" s="50"/>
      <c r="T97" s="50">
        <f aca="true" t="shared" si="17" ref="T97:T106">SUM(P97:S97)</f>
        <v>35000</v>
      </c>
      <c r="U97" s="50"/>
      <c r="V97" s="50">
        <v>30000</v>
      </c>
      <c r="W97" s="50"/>
      <c r="X97" s="50"/>
      <c r="Y97" s="143">
        <f t="shared" si="15"/>
        <v>30000</v>
      </c>
      <c r="Z97" s="251">
        <v>72600</v>
      </c>
      <c r="AA97" s="314" t="s">
        <v>187</v>
      </c>
      <c r="AB97" s="231" t="s">
        <v>176</v>
      </c>
      <c r="AD97" s="83"/>
      <c r="AE97" s="83"/>
    </row>
    <row r="98" spans="1:31" ht="15">
      <c r="A98" s="117" t="s">
        <v>74</v>
      </c>
      <c r="B98" s="114">
        <v>20000</v>
      </c>
      <c r="C98" s="48">
        <v>5</v>
      </c>
      <c r="D98" s="114">
        <f>B98*C98</f>
        <v>100000</v>
      </c>
      <c r="E98" s="50">
        <v>100000</v>
      </c>
      <c r="F98" s="251" t="s">
        <v>182</v>
      </c>
      <c r="G98" s="270"/>
      <c r="H98" s="271"/>
      <c r="I98" s="295"/>
      <c r="J98" s="314" t="s">
        <v>187</v>
      </c>
      <c r="K98" s="50"/>
      <c r="L98" s="50">
        <v>35000</v>
      </c>
      <c r="M98" s="50"/>
      <c r="N98" s="50"/>
      <c r="O98" s="50">
        <f t="shared" si="16"/>
        <v>35000</v>
      </c>
      <c r="P98" s="50"/>
      <c r="Q98" s="50">
        <v>35000</v>
      </c>
      <c r="R98" s="50"/>
      <c r="S98" s="50"/>
      <c r="T98" s="50">
        <f t="shared" si="17"/>
        <v>35000</v>
      </c>
      <c r="U98" s="50"/>
      <c r="V98" s="50">
        <v>30000</v>
      </c>
      <c r="W98" s="50"/>
      <c r="X98" s="50"/>
      <c r="Y98" s="143">
        <f t="shared" si="15"/>
        <v>30000</v>
      </c>
      <c r="Z98" s="251" t="s">
        <v>182</v>
      </c>
      <c r="AA98" s="314" t="s">
        <v>187</v>
      </c>
      <c r="AB98" s="231" t="s">
        <v>176</v>
      </c>
      <c r="AD98" s="83"/>
      <c r="AE98" s="83"/>
    </row>
    <row r="99" spans="1:31" ht="15">
      <c r="A99" s="106" t="s">
        <v>82</v>
      </c>
      <c r="B99" s="114">
        <v>2000</v>
      </c>
      <c r="C99" s="48">
        <v>10</v>
      </c>
      <c r="D99" s="114">
        <f>B99*C99</f>
        <v>20000</v>
      </c>
      <c r="E99" s="50">
        <v>20000</v>
      </c>
      <c r="F99" s="251" t="s">
        <v>179</v>
      </c>
      <c r="G99" s="270"/>
      <c r="H99" s="271"/>
      <c r="I99" s="295"/>
      <c r="J99" s="314" t="s">
        <v>187</v>
      </c>
      <c r="K99" s="50"/>
      <c r="L99" s="50">
        <v>10000</v>
      </c>
      <c r="M99" s="50"/>
      <c r="N99" s="50"/>
      <c r="O99" s="50">
        <f t="shared" si="16"/>
        <v>10000</v>
      </c>
      <c r="P99" s="50"/>
      <c r="Q99" s="50">
        <v>10000</v>
      </c>
      <c r="R99" s="50"/>
      <c r="S99" s="50"/>
      <c r="T99" s="50">
        <f t="shared" si="17"/>
        <v>10000</v>
      </c>
      <c r="U99" s="50"/>
      <c r="V99" s="50">
        <v>0</v>
      </c>
      <c r="W99" s="50"/>
      <c r="X99" s="50"/>
      <c r="Y99" s="143">
        <f t="shared" si="15"/>
        <v>0</v>
      </c>
      <c r="Z99" s="251" t="s">
        <v>179</v>
      </c>
      <c r="AA99" s="314" t="s">
        <v>187</v>
      </c>
      <c r="AB99" s="231" t="s">
        <v>176</v>
      </c>
      <c r="AD99" s="83"/>
      <c r="AE99" s="83"/>
    </row>
    <row r="100" spans="1:31" ht="26.25">
      <c r="A100" s="37" t="s">
        <v>75</v>
      </c>
      <c r="B100" s="51"/>
      <c r="C100" s="48"/>
      <c r="D100" s="52"/>
      <c r="E100" s="50"/>
      <c r="F100" s="251"/>
      <c r="G100" s="270"/>
      <c r="H100" s="271"/>
      <c r="I100" s="295"/>
      <c r="J100" s="314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143"/>
      <c r="Z100" s="251"/>
      <c r="AA100" s="314"/>
      <c r="AB100" s="231"/>
      <c r="AD100" s="83"/>
      <c r="AE100" s="83"/>
    </row>
    <row r="101" spans="1:31" ht="15">
      <c r="A101" s="377" t="s">
        <v>76</v>
      </c>
      <c r="B101" s="378">
        <v>30000</v>
      </c>
      <c r="C101" s="48" t="s">
        <v>2</v>
      </c>
      <c r="D101" s="50">
        <v>30000</v>
      </c>
      <c r="E101" s="50">
        <v>30000</v>
      </c>
      <c r="F101" s="251" t="s">
        <v>179</v>
      </c>
      <c r="G101" s="270"/>
      <c r="H101" s="271"/>
      <c r="I101" s="295"/>
      <c r="J101" s="314" t="s">
        <v>187</v>
      </c>
      <c r="K101" s="50"/>
      <c r="L101" s="50">
        <v>10000</v>
      </c>
      <c r="M101" s="50"/>
      <c r="N101" s="50"/>
      <c r="O101" s="50">
        <f t="shared" si="16"/>
        <v>10000</v>
      </c>
      <c r="P101" s="50"/>
      <c r="Q101" s="50">
        <v>10000</v>
      </c>
      <c r="R101" s="50"/>
      <c r="S101" s="50"/>
      <c r="T101" s="50">
        <f t="shared" si="17"/>
        <v>10000</v>
      </c>
      <c r="U101" s="50"/>
      <c r="V101" s="50">
        <v>10000</v>
      </c>
      <c r="W101" s="50"/>
      <c r="X101" s="50"/>
      <c r="Y101" s="143">
        <f t="shared" si="15"/>
        <v>10000</v>
      </c>
      <c r="Z101" s="251" t="s">
        <v>179</v>
      </c>
      <c r="AA101" s="314" t="s">
        <v>187</v>
      </c>
      <c r="AB101" s="231" t="s">
        <v>176</v>
      </c>
      <c r="AD101" s="83"/>
      <c r="AE101" s="83"/>
    </row>
    <row r="102" spans="1:31" ht="15">
      <c r="A102" s="15" t="s">
        <v>77</v>
      </c>
      <c r="B102" s="136">
        <v>10000</v>
      </c>
      <c r="C102" s="48">
        <v>5</v>
      </c>
      <c r="D102" s="114">
        <f>B102*C102</f>
        <v>50000</v>
      </c>
      <c r="E102" s="50">
        <v>50000</v>
      </c>
      <c r="F102" s="251">
        <v>72600</v>
      </c>
      <c r="G102" s="270"/>
      <c r="H102" s="271"/>
      <c r="I102" s="295"/>
      <c r="J102" s="314" t="s">
        <v>187</v>
      </c>
      <c r="K102" s="50"/>
      <c r="L102" s="50">
        <v>20000</v>
      </c>
      <c r="M102" s="50"/>
      <c r="N102" s="50"/>
      <c r="O102" s="50">
        <f t="shared" si="16"/>
        <v>20000</v>
      </c>
      <c r="P102" s="50"/>
      <c r="Q102" s="50">
        <v>20000</v>
      </c>
      <c r="R102" s="50"/>
      <c r="S102" s="50"/>
      <c r="T102" s="50">
        <f t="shared" si="17"/>
        <v>20000</v>
      </c>
      <c r="U102" s="50"/>
      <c r="V102" s="50">
        <v>10000</v>
      </c>
      <c r="W102" s="50"/>
      <c r="X102" s="50"/>
      <c r="Y102" s="143">
        <f t="shared" si="15"/>
        <v>10000</v>
      </c>
      <c r="Z102" s="251">
        <v>72600</v>
      </c>
      <c r="AA102" s="314" t="s">
        <v>187</v>
      </c>
      <c r="AB102" s="231" t="s">
        <v>176</v>
      </c>
      <c r="AD102" s="83"/>
      <c r="AE102" s="83"/>
    </row>
    <row r="103" spans="1:31" ht="15">
      <c r="A103" s="15" t="s">
        <v>78</v>
      </c>
      <c r="B103" s="136">
        <v>12500</v>
      </c>
      <c r="C103" s="48">
        <v>4</v>
      </c>
      <c r="D103" s="114">
        <f>B103*C103</f>
        <v>50000</v>
      </c>
      <c r="E103" s="50">
        <v>50000</v>
      </c>
      <c r="F103" s="251">
        <v>72100</v>
      </c>
      <c r="G103" s="270"/>
      <c r="H103" s="271"/>
      <c r="I103" s="295"/>
      <c r="J103" s="314" t="s">
        <v>187</v>
      </c>
      <c r="K103" s="50"/>
      <c r="L103" s="50">
        <v>15000</v>
      </c>
      <c r="M103" s="50"/>
      <c r="N103" s="50"/>
      <c r="O103" s="50">
        <f t="shared" si="16"/>
        <v>15000</v>
      </c>
      <c r="P103" s="50"/>
      <c r="Q103" s="50">
        <v>20000</v>
      </c>
      <c r="R103" s="50"/>
      <c r="S103" s="50"/>
      <c r="T103" s="50">
        <f t="shared" si="17"/>
        <v>20000</v>
      </c>
      <c r="U103" s="50"/>
      <c r="V103" s="50">
        <v>15000</v>
      </c>
      <c r="W103" s="50"/>
      <c r="X103" s="50"/>
      <c r="Y103" s="143">
        <f t="shared" si="15"/>
        <v>15000</v>
      </c>
      <c r="Z103" s="251">
        <v>72100</v>
      </c>
      <c r="AA103" s="314" t="s">
        <v>187</v>
      </c>
      <c r="AB103" s="231" t="s">
        <v>176</v>
      </c>
      <c r="AD103" s="83"/>
      <c r="AE103" s="83"/>
    </row>
    <row r="104" spans="1:31" ht="15">
      <c r="A104" s="76" t="s">
        <v>79</v>
      </c>
      <c r="B104" s="135">
        <v>20000</v>
      </c>
      <c r="C104" s="13" t="s">
        <v>2</v>
      </c>
      <c r="D104" s="50">
        <v>20000</v>
      </c>
      <c r="E104" s="50">
        <v>20000</v>
      </c>
      <c r="F104" s="251">
        <v>71600</v>
      </c>
      <c r="G104" s="270"/>
      <c r="H104" s="271"/>
      <c r="I104" s="295"/>
      <c r="J104" s="314" t="s">
        <v>187</v>
      </c>
      <c r="K104" s="50"/>
      <c r="L104" s="50">
        <v>7500</v>
      </c>
      <c r="M104" s="50"/>
      <c r="N104" s="50"/>
      <c r="O104" s="50">
        <f t="shared" si="16"/>
        <v>7500</v>
      </c>
      <c r="P104" s="50"/>
      <c r="Q104" s="50">
        <v>7500</v>
      </c>
      <c r="R104" s="50"/>
      <c r="S104" s="50"/>
      <c r="T104" s="50">
        <f t="shared" si="17"/>
        <v>7500</v>
      </c>
      <c r="U104" s="50"/>
      <c r="V104" s="50">
        <v>5000</v>
      </c>
      <c r="W104" s="50"/>
      <c r="X104" s="50"/>
      <c r="Y104" s="143">
        <f t="shared" si="15"/>
        <v>5000</v>
      </c>
      <c r="Z104" s="251">
        <v>71600</v>
      </c>
      <c r="AA104" s="314" t="s">
        <v>187</v>
      </c>
      <c r="AB104" s="231" t="s">
        <v>176</v>
      </c>
      <c r="AD104" s="83"/>
      <c r="AE104" s="83"/>
    </row>
    <row r="105" spans="1:31" ht="15">
      <c r="A105" s="37" t="s">
        <v>80</v>
      </c>
      <c r="B105" s="52"/>
      <c r="C105" s="48"/>
      <c r="D105" s="52"/>
      <c r="E105" s="50"/>
      <c r="F105" s="251"/>
      <c r="G105" s="270"/>
      <c r="H105" s="271"/>
      <c r="I105" s="295"/>
      <c r="J105" s="314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143"/>
      <c r="Z105" s="251"/>
      <c r="AA105" s="314"/>
      <c r="AB105" s="231"/>
      <c r="AD105" s="83"/>
      <c r="AE105" s="83"/>
    </row>
    <row r="106" spans="1:31" ht="15">
      <c r="A106" s="120" t="s">
        <v>128</v>
      </c>
      <c r="B106" s="144">
        <v>1425</v>
      </c>
      <c r="C106" s="113">
        <v>30</v>
      </c>
      <c r="D106" s="145">
        <f>B106*C106</f>
        <v>42750</v>
      </c>
      <c r="E106" s="110">
        <f>D106/$H$1</f>
        <v>59623.430962343096</v>
      </c>
      <c r="F106" s="243">
        <v>71400</v>
      </c>
      <c r="G106" s="270"/>
      <c r="H106" s="271"/>
      <c r="I106" s="295"/>
      <c r="J106" s="314" t="s">
        <v>187</v>
      </c>
      <c r="K106" s="121"/>
      <c r="L106" s="121">
        <v>25000</v>
      </c>
      <c r="M106" s="121"/>
      <c r="N106" s="121"/>
      <c r="O106" s="50">
        <f t="shared" si="16"/>
        <v>25000</v>
      </c>
      <c r="P106" s="121"/>
      <c r="Q106" s="121">
        <v>25000</v>
      </c>
      <c r="R106" s="121"/>
      <c r="S106" s="121"/>
      <c r="T106" s="50">
        <f t="shared" si="17"/>
        <v>25000</v>
      </c>
      <c r="U106" s="121"/>
      <c r="V106" s="121">
        <v>9623.430962343096</v>
      </c>
      <c r="W106" s="121"/>
      <c r="X106" s="121"/>
      <c r="Y106" s="143">
        <f t="shared" si="15"/>
        <v>9623.430962343096</v>
      </c>
      <c r="Z106" s="243">
        <v>71400</v>
      </c>
      <c r="AA106" s="314" t="s">
        <v>187</v>
      </c>
      <c r="AB106" s="231" t="s">
        <v>176</v>
      </c>
      <c r="AD106" s="83"/>
      <c r="AE106" s="83"/>
    </row>
    <row r="107" spans="1:31" ht="15">
      <c r="A107" s="54"/>
      <c r="B107" s="47"/>
      <c r="C107" s="48"/>
      <c r="D107" s="47"/>
      <c r="E107" s="50"/>
      <c r="F107" s="251"/>
      <c r="G107" s="270"/>
      <c r="H107" s="271"/>
      <c r="I107" s="295"/>
      <c r="J107" s="314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251"/>
      <c r="AA107" s="314"/>
      <c r="AB107" s="231"/>
      <c r="AD107" s="83"/>
      <c r="AE107" s="83"/>
    </row>
    <row r="108" spans="1:31" ht="15">
      <c r="A108" s="29" t="s">
        <v>17</v>
      </c>
      <c r="B108" s="17"/>
      <c r="C108" s="13"/>
      <c r="D108" s="17"/>
      <c r="E108" s="33">
        <f>SUM(E96:E106)</f>
        <v>529623.4309623431</v>
      </c>
      <c r="F108" s="246"/>
      <c r="G108" s="275">
        <f>SUM(G106:G106)</f>
        <v>0</v>
      </c>
      <c r="H108" s="276">
        <f>SUM(H106:H106)</f>
        <v>0</v>
      </c>
      <c r="I108" s="297">
        <f>SUM(I106:I106)</f>
        <v>0</v>
      </c>
      <c r="J108" s="310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246"/>
      <c r="AA108" s="310"/>
      <c r="AB108" s="225"/>
      <c r="AD108" s="83"/>
      <c r="AE108" s="83"/>
    </row>
    <row r="109" spans="1:31" ht="15">
      <c r="A109" s="27" t="s">
        <v>46</v>
      </c>
      <c r="B109" s="17"/>
      <c r="C109" s="13"/>
      <c r="D109" s="17"/>
      <c r="E109" s="14">
        <f>E108*7%</f>
        <v>37073.64016736402</v>
      </c>
      <c r="F109" s="247"/>
      <c r="G109" s="272"/>
      <c r="H109" s="274">
        <f>H108*7%</f>
        <v>0</v>
      </c>
      <c r="I109" s="296">
        <f>I108*7%</f>
        <v>0</v>
      </c>
      <c r="J109" s="311"/>
      <c r="K109" s="14"/>
      <c r="L109" s="14">
        <f>SUM(L96:L107)*8.0707%</f>
        <v>16746.7025</v>
      </c>
      <c r="M109" s="14">
        <f>SUM(M96:M107)*8.0707%</f>
        <v>0</v>
      </c>
      <c r="N109" s="14">
        <f>SUM(N96:N107)*8.0707%</f>
        <v>0</v>
      </c>
      <c r="O109" s="143">
        <f>SUM(K109:N109)</f>
        <v>16746.7025</v>
      </c>
      <c r="P109" s="14"/>
      <c r="Q109" s="14">
        <f>SUM(Q96:Q107)*8.0707%</f>
        <v>17150.2375</v>
      </c>
      <c r="R109" s="14">
        <f>SUM(R96:R107)*8.0707%</f>
        <v>0</v>
      </c>
      <c r="S109" s="14">
        <f>SUM(S96:S107)*8.0707%</f>
        <v>0</v>
      </c>
      <c r="T109" s="143">
        <f>SUM(P109:S109)</f>
        <v>17150.2375</v>
      </c>
      <c r="U109" s="14"/>
      <c r="V109" s="14">
        <f>SUM(V96:V107)*8.0707%</f>
        <v>8847.378242677823</v>
      </c>
      <c r="W109" s="14">
        <f>SUM(W96:W107)*8.0707%</f>
        <v>0</v>
      </c>
      <c r="X109" s="14">
        <f>SUM(X96:X107)*8.0707%</f>
        <v>0</v>
      </c>
      <c r="Y109" s="14">
        <f>SUM(V109:X109)</f>
        <v>8847.378242677823</v>
      </c>
      <c r="Z109" s="247"/>
      <c r="AA109" s="311"/>
      <c r="AB109" s="226"/>
      <c r="AD109" s="83"/>
      <c r="AE109" s="83"/>
    </row>
    <row r="110" spans="1:31" ht="15" customHeight="1" thickBot="1">
      <c r="A110" s="28" t="s">
        <v>47</v>
      </c>
      <c r="B110" s="31"/>
      <c r="C110" s="32"/>
      <c r="D110" s="31"/>
      <c r="E110" s="34">
        <f>E108+E109</f>
        <v>566697.0711297072</v>
      </c>
      <c r="F110" s="248"/>
      <c r="G110" s="277">
        <f>G108+G109</f>
        <v>0</v>
      </c>
      <c r="H110" s="278">
        <f>H108+H109</f>
        <v>0</v>
      </c>
      <c r="I110" s="298">
        <f>I108+I109</f>
        <v>0</v>
      </c>
      <c r="J110" s="312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248"/>
      <c r="AA110" s="312"/>
      <c r="AB110" s="227"/>
      <c r="AD110" s="84">
        <f>SUM(AD108:AD108)</f>
        <v>0</v>
      </c>
      <c r="AE110" s="84">
        <f>SUM(AE108:AE108)</f>
        <v>0</v>
      </c>
    </row>
    <row r="111" spans="1:31" ht="15" customHeight="1" thickBot="1" thickTop="1">
      <c r="A111" s="77"/>
      <c r="B111" s="22"/>
      <c r="C111" s="23"/>
      <c r="D111" s="22"/>
      <c r="E111" s="78"/>
      <c r="F111" s="252"/>
      <c r="G111" s="283"/>
      <c r="H111" s="284"/>
      <c r="I111" s="300"/>
      <c r="J111" s="315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252"/>
      <c r="AA111" s="315"/>
      <c r="AB111" s="232"/>
      <c r="AD111" s="17">
        <f>AD110*7%</f>
        <v>0</v>
      </c>
      <c r="AE111" s="17">
        <f>AE110*7%</f>
        <v>0</v>
      </c>
    </row>
    <row r="112" spans="1:31" ht="15" customHeight="1" thickBot="1">
      <c r="A112" s="5" t="s">
        <v>40</v>
      </c>
      <c r="B112" s="40"/>
      <c r="C112" s="41"/>
      <c r="D112" s="45"/>
      <c r="E112" s="44">
        <f>E108+E63+E38+E25+E90</f>
        <v>5059428.476987448</v>
      </c>
      <c r="F112" s="253"/>
      <c r="G112" s="285">
        <f>G108+G63+G38+G25+G90</f>
        <v>600000</v>
      </c>
      <c r="H112" s="286"/>
      <c r="I112" s="287"/>
      <c r="J112" s="316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253"/>
      <c r="AA112" s="316"/>
      <c r="AB112" s="233"/>
      <c r="AD112" s="90">
        <f>AD110+AD111</f>
        <v>0</v>
      </c>
      <c r="AE112" s="90">
        <f>AE110+AE111</f>
        <v>0</v>
      </c>
    </row>
    <row r="113" spans="1:31" ht="15" customHeight="1" thickBot="1" thickTop="1">
      <c r="A113" s="91" t="s">
        <v>41</v>
      </c>
      <c r="B113" s="17"/>
      <c r="C113" s="13"/>
      <c r="D113" s="18"/>
      <c r="E113" s="92">
        <f>E109+E64+E39+E26+E91</f>
        <v>312159.9933891214</v>
      </c>
      <c r="F113" s="254"/>
      <c r="G113" s="288">
        <f>G109+G64+G39+G26+G91</f>
        <v>0</v>
      </c>
      <c r="H113" s="274"/>
      <c r="I113" s="289"/>
      <c r="J113" s="317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254"/>
      <c r="AA113" s="317"/>
      <c r="AB113" s="234"/>
      <c r="AD113" s="97"/>
      <c r="AE113" s="97"/>
    </row>
    <row r="114" spans="1:31" ht="15.75" thickBot="1">
      <c r="A114" s="93" t="s">
        <v>48</v>
      </c>
      <c r="B114" s="94"/>
      <c r="C114" s="95"/>
      <c r="D114" s="94"/>
      <c r="E114" s="96">
        <f>(E113+E112-600000)*1%</f>
        <v>47715.88470376569</v>
      </c>
      <c r="F114" s="255"/>
      <c r="G114" s="283"/>
      <c r="H114" s="290"/>
      <c r="I114" s="301"/>
      <c r="J114" s="318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255"/>
      <c r="AA114" s="318"/>
      <c r="AB114" s="235"/>
      <c r="AD114" s="101"/>
      <c r="AE114" s="103"/>
    </row>
    <row r="115" spans="1:31" ht="15.75" thickBot="1">
      <c r="A115" s="79"/>
      <c r="B115" s="22"/>
      <c r="C115" s="23"/>
      <c r="D115" s="22"/>
      <c r="E115" s="80"/>
      <c r="F115" s="256"/>
      <c r="G115" s="279"/>
      <c r="H115" s="280"/>
      <c r="I115" s="299"/>
      <c r="J115" s="319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256"/>
      <c r="AA115" s="319"/>
      <c r="AB115" s="236"/>
      <c r="AD115" s="102"/>
      <c r="AE115" s="104"/>
    </row>
    <row r="116" spans="1:31" ht="15.75" thickBot="1">
      <c r="A116" s="39" t="s">
        <v>42</v>
      </c>
      <c r="B116" s="42"/>
      <c r="C116" s="43"/>
      <c r="D116" s="42"/>
      <c r="E116" s="46">
        <f>E112+E113+E114</f>
        <v>5419304.3550803345</v>
      </c>
      <c r="F116" s="257"/>
      <c r="G116" s="291">
        <f>G112+G113+G114</f>
        <v>600000</v>
      </c>
      <c r="H116" s="292"/>
      <c r="I116" s="302"/>
      <c r="J116" s="320"/>
      <c r="K116" s="46">
        <f aca="true" t="shared" si="18" ref="K116:Y116">SUM(K5:K115)</f>
        <v>311198.74</v>
      </c>
      <c r="L116" s="46">
        <f>SUM(L5:L115)</f>
        <v>344285.151818</v>
      </c>
      <c r="M116" s="46">
        <f t="shared" si="18"/>
        <v>676511.7749300001</v>
      </c>
      <c r="N116" s="46">
        <f t="shared" si="18"/>
        <v>821769.6028</v>
      </c>
      <c r="O116" s="46">
        <f t="shared" si="18"/>
        <v>2153765.2695480003</v>
      </c>
      <c r="P116" s="46">
        <f t="shared" si="18"/>
        <v>269000</v>
      </c>
      <c r="Q116" s="46">
        <f t="shared" si="18"/>
        <v>348528.0075</v>
      </c>
      <c r="R116" s="46">
        <f t="shared" si="18"/>
        <v>784042.12143</v>
      </c>
      <c r="S116" s="46">
        <f t="shared" si="18"/>
        <v>753360.8496999999</v>
      </c>
      <c r="T116" s="46">
        <f t="shared" si="18"/>
        <v>2154930.97863</v>
      </c>
      <c r="U116" s="46">
        <f>SUM(U5:U115)</f>
        <v>20200</v>
      </c>
      <c r="V116" s="46">
        <f t="shared" si="18"/>
        <v>237348.57920502094</v>
      </c>
      <c r="W116" s="46">
        <f t="shared" si="18"/>
        <v>248562.61</v>
      </c>
      <c r="X116" s="46">
        <f t="shared" si="18"/>
        <v>604495.9474326359</v>
      </c>
      <c r="Y116" s="46">
        <f t="shared" si="18"/>
        <v>1110607.1414075312</v>
      </c>
      <c r="Z116" s="257"/>
      <c r="AA116" s="320"/>
      <c r="AB116" s="344">
        <f>O116+T116+Y116</f>
        <v>5419303.38958553</v>
      </c>
      <c r="AD116" s="88"/>
      <c r="AE116" s="88"/>
    </row>
    <row r="117" spans="1:31" ht="15" customHeight="1" thickBot="1">
      <c r="A117" s="21"/>
      <c r="B117" s="22"/>
      <c r="C117" s="23"/>
      <c r="D117" s="22"/>
      <c r="E117" s="22"/>
      <c r="F117" s="258"/>
      <c r="J117" s="22"/>
      <c r="K117" s="22"/>
      <c r="L117" s="22"/>
      <c r="M117" s="22"/>
      <c r="N117" s="22"/>
      <c r="O117" s="22">
        <f>SUM(K116:N116)</f>
        <v>2153765.269548</v>
      </c>
      <c r="P117" s="22"/>
      <c r="Q117" s="22"/>
      <c r="R117" s="22"/>
      <c r="S117" s="22"/>
      <c r="T117" s="22">
        <f>SUM(P116:S116)</f>
        <v>2154930.97863</v>
      </c>
      <c r="U117" s="22"/>
      <c r="V117" s="22"/>
      <c r="W117" s="22"/>
      <c r="X117" s="22"/>
      <c r="Y117" s="22">
        <f>SUM(U116:X116)</f>
        <v>1110607.136637657</v>
      </c>
      <c r="Z117" s="258"/>
      <c r="AA117" s="22"/>
      <c r="AB117" s="344">
        <f>O117+T117+Y117</f>
        <v>5419303.384815657</v>
      </c>
      <c r="AD117" s="89"/>
      <c r="AE117" s="89"/>
    </row>
    <row r="118" spans="5:33" ht="21" customHeight="1" thickBot="1">
      <c r="E118" s="2"/>
      <c r="F118" s="259"/>
      <c r="I118" s="261" t="s">
        <v>185</v>
      </c>
      <c r="J118" s="2"/>
      <c r="K118" s="1" t="s">
        <v>190</v>
      </c>
      <c r="L118" s="3"/>
      <c r="M118" s="3" t="s">
        <v>184</v>
      </c>
      <c r="N118" s="2"/>
      <c r="O118" s="2">
        <f>O116-O117</f>
        <v>0</v>
      </c>
      <c r="P118" s="2"/>
      <c r="Q118" s="2"/>
      <c r="R118" s="2"/>
      <c r="S118" s="2"/>
      <c r="T118" s="2">
        <f>T116-T117</f>
        <v>0</v>
      </c>
      <c r="U118" s="2"/>
      <c r="V118" s="2"/>
      <c r="W118" s="2"/>
      <c r="X118" s="2"/>
      <c r="Y118" s="2">
        <f>Y116-Y117</f>
        <v>0.004769874271005392</v>
      </c>
      <c r="Z118" s="259"/>
      <c r="AA118" s="2"/>
      <c r="AB118" s="345">
        <f>E116-AB117</f>
        <v>0.9702646778896451</v>
      </c>
      <c r="AC118" s="237"/>
      <c r="AD118" s="100"/>
      <c r="AE118" s="100"/>
      <c r="AG118" s="237"/>
    </row>
    <row r="119" spans="9:33" ht="15.75" thickBot="1">
      <c r="I119" s="339">
        <f>D125-E110</f>
        <v>366635.92887029285</v>
      </c>
      <c r="K119" s="237">
        <f>D124-E40+M119</f>
        <v>95871.53923390724</v>
      </c>
      <c r="M119" s="340">
        <f>D122-E92</f>
        <v>48320.19613767299</v>
      </c>
      <c r="N119" s="74" t="s">
        <v>189</v>
      </c>
      <c r="AC119" s="237"/>
      <c r="AG119" s="237"/>
    </row>
    <row r="120" spans="1:27" ht="15.75" thickBot="1">
      <c r="A120" s="386" t="s">
        <v>131</v>
      </c>
      <c r="B120" s="387"/>
      <c r="C120" s="387"/>
      <c r="D120" s="388"/>
      <c r="E120" s="3"/>
      <c r="J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AA120" s="3"/>
    </row>
    <row r="121" spans="1:29" ht="26.25" thickBot="1">
      <c r="A121" s="326" t="s">
        <v>10</v>
      </c>
      <c r="B121" s="81" t="s">
        <v>9</v>
      </c>
      <c r="C121" s="327" t="s">
        <v>12</v>
      </c>
      <c r="D121" s="325" t="s">
        <v>11</v>
      </c>
      <c r="E121" s="328" t="s">
        <v>164</v>
      </c>
      <c r="F121" s="329" t="s">
        <v>165</v>
      </c>
      <c r="G121" s="330" t="s">
        <v>166</v>
      </c>
      <c r="H121" s="330" t="s">
        <v>62</v>
      </c>
      <c r="J121" s="341" t="s">
        <v>186</v>
      </c>
      <c r="K121" s="342">
        <f>E27</f>
        <v>978516.6569874478</v>
      </c>
      <c r="M121" s="261" t="s">
        <v>183</v>
      </c>
      <c r="O121" s="346"/>
      <c r="P121" s="346"/>
      <c r="Q121" s="346" t="s">
        <v>136</v>
      </c>
      <c r="R121" s="346" t="s">
        <v>188</v>
      </c>
      <c r="S121" s="346" t="s">
        <v>195</v>
      </c>
      <c r="T121" s="346" t="s">
        <v>196</v>
      </c>
      <c r="U121" s="346" t="s">
        <v>197</v>
      </c>
      <c r="V121" s="346" t="s">
        <v>198</v>
      </c>
      <c r="W121" s="346" t="s">
        <v>199</v>
      </c>
      <c r="X121" s="3"/>
      <c r="Y121" s="3"/>
      <c r="AB121" s="3"/>
      <c r="AC121" s="238"/>
    </row>
    <row r="122" spans="1:29" ht="30" customHeight="1">
      <c r="A122" s="208" t="s">
        <v>6</v>
      </c>
      <c r="B122" s="209">
        <v>11000000</v>
      </c>
      <c r="C122" s="210">
        <v>6.421</v>
      </c>
      <c r="D122" s="321">
        <f>B122/C122</f>
        <v>1713128.796137673</v>
      </c>
      <c r="E122" s="332"/>
      <c r="F122" s="333"/>
      <c r="G122" s="334"/>
      <c r="H122" s="343">
        <f>SUM(E122:G122)</f>
        <v>0</v>
      </c>
      <c r="J122" s="261" t="s">
        <v>168</v>
      </c>
      <c r="K122" s="339">
        <f>K121-K123-K124</f>
        <v>33096.02557061566</v>
      </c>
      <c r="M122" s="339">
        <f>D123-E65</f>
        <v>578784.7025465393</v>
      </c>
      <c r="O122" s="347" t="s">
        <v>191</v>
      </c>
      <c r="P122" s="348" t="s">
        <v>169</v>
      </c>
      <c r="Q122" s="349">
        <v>0</v>
      </c>
      <c r="R122" s="347">
        <f>D122-T122</f>
        <v>48320.19613767299</v>
      </c>
      <c r="S122" s="347">
        <v>0</v>
      </c>
      <c r="T122" s="350">
        <f>E92</f>
        <v>1664808.6</v>
      </c>
      <c r="U122" s="347">
        <v>0</v>
      </c>
      <c r="V122" s="351">
        <f>SUM(Q122:U122)</f>
        <v>1713128.796137673</v>
      </c>
      <c r="W122" s="351">
        <f>D122-V122</f>
        <v>0</v>
      </c>
      <c r="X122" s="74"/>
      <c r="Y122" s="74"/>
      <c r="AB122" s="74"/>
      <c r="AC122" s="239"/>
    </row>
    <row r="123" spans="1:29" ht="15">
      <c r="A123" s="137" t="s">
        <v>5</v>
      </c>
      <c r="B123" s="211">
        <v>17000000</v>
      </c>
      <c r="C123" s="212">
        <v>7.77</v>
      </c>
      <c r="D123" s="322">
        <f>B123/C123</f>
        <v>2187902.187902188</v>
      </c>
      <c r="E123" s="87"/>
      <c r="F123" s="331"/>
      <c r="G123" s="335"/>
      <c r="H123" s="335">
        <f>SUM(E123:G123)</f>
        <v>0</v>
      </c>
      <c r="I123" s="261"/>
      <c r="J123" s="261" t="s">
        <v>176</v>
      </c>
      <c r="K123" s="339">
        <f>I119</f>
        <v>366635.92887029285</v>
      </c>
      <c r="O123" s="349" t="s">
        <v>193</v>
      </c>
      <c r="P123" s="352" t="s">
        <v>170</v>
      </c>
      <c r="Q123" s="353">
        <f>D123-S123</f>
        <v>578784.7025465393</v>
      </c>
      <c r="R123" s="349">
        <v>0</v>
      </c>
      <c r="S123" s="354">
        <f>E65</f>
        <v>1609117.4853556487</v>
      </c>
      <c r="T123" s="349">
        <v>0</v>
      </c>
      <c r="U123" s="349">
        <v>0</v>
      </c>
      <c r="V123" s="351">
        <f>SUM(Q123:U123)</f>
        <v>2187902.187902188</v>
      </c>
      <c r="W123" s="351">
        <f>D123-V123</f>
        <v>0</v>
      </c>
      <c r="AB123" s="1"/>
      <c r="AC123" s="238"/>
    </row>
    <row r="124" spans="1:29" ht="15">
      <c r="A124" s="137" t="s">
        <v>7</v>
      </c>
      <c r="B124" s="131">
        <v>600000</v>
      </c>
      <c r="C124" s="213">
        <v>1</v>
      </c>
      <c r="D124" s="322">
        <f>B124*C124</f>
        <v>600000</v>
      </c>
      <c r="E124" s="87"/>
      <c r="F124" s="331"/>
      <c r="G124" s="335"/>
      <c r="H124" s="335">
        <f>SUM(E124:G124)</f>
        <v>0</v>
      </c>
      <c r="I124" s="261"/>
      <c r="J124" s="261" t="s">
        <v>170</v>
      </c>
      <c r="K124" s="339">
        <f>M122</f>
        <v>578784.7025465393</v>
      </c>
      <c r="O124" s="349" t="s">
        <v>192</v>
      </c>
      <c r="P124" s="352" t="s">
        <v>168</v>
      </c>
      <c r="Q124" s="355">
        <f>D124-R124</f>
        <v>95871.53923390724</v>
      </c>
      <c r="R124" s="355">
        <f>E40-R122</f>
        <v>504128.46076609276</v>
      </c>
      <c r="S124" s="349">
        <v>0</v>
      </c>
      <c r="T124" s="349">
        <v>0</v>
      </c>
      <c r="U124" s="349">
        <v>0</v>
      </c>
      <c r="V124" s="351">
        <f>SUM(Q124:U124)</f>
        <v>600000</v>
      </c>
      <c r="W124" s="351">
        <f>D124-V124</f>
        <v>0</v>
      </c>
      <c r="AA124" s="349"/>
      <c r="AB124" s="1"/>
      <c r="AC124" s="238"/>
    </row>
    <row r="125" spans="1:29" ht="15.75" thickBot="1">
      <c r="A125" s="214" t="s">
        <v>8</v>
      </c>
      <c r="B125" s="131">
        <v>933333</v>
      </c>
      <c r="C125" s="213">
        <v>1</v>
      </c>
      <c r="D125" s="323">
        <f>B125/C125</f>
        <v>933333</v>
      </c>
      <c r="E125" s="336"/>
      <c r="F125" s="337"/>
      <c r="G125" s="338"/>
      <c r="H125" s="338">
        <f>SUM(E125:G125)</f>
        <v>0</v>
      </c>
      <c r="L125" s="4"/>
      <c r="M125" s="4"/>
      <c r="O125" s="356" t="s">
        <v>194</v>
      </c>
      <c r="P125" s="357" t="s">
        <v>176</v>
      </c>
      <c r="Q125" s="358">
        <f>D125-U125</f>
        <v>366635.92887029285</v>
      </c>
      <c r="R125" s="356">
        <v>0</v>
      </c>
      <c r="S125" s="356">
        <v>0</v>
      </c>
      <c r="T125" s="356">
        <v>0</v>
      </c>
      <c r="U125" s="359">
        <f>E110</f>
        <v>566697.0711297072</v>
      </c>
      <c r="V125" s="360">
        <f>SUM(Q125:U125)</f>
        <v>933333</v>
      </c>
      <c r="W125" s="360">
        <f>D125-V125</f>
        <v>0</v>
      </c>
      <c r="X125" s="4"/>
      <c r="Y125" s="4"/>
      <c r="AA125" s="349"/>
      <c r="AB125" s="4"/>
      <c r="AC125" s="240"/>
    </row>
    <row r="126" spans="1:29" ht="15.75" thickBot="1">
      <c r="A126" s="392" t="s">
        <v>43</v>
      </c>
      <c r="B126" s="393"/>
      <c r="C126" s="394"/>
      <c r="D126" s="324">
        <f>SUM(D122:D125)</f>
        <v>5434363.984039861</v>
      </c>
      <c r="E126" s="324">
        <f>SUM(E122:E125)</f>
        <v>0</v>
      </c>
      <c r="F126" s="324">
        <f>SUM(F122:F125)</f>
        <v>0</v>
      </c>
      <c r="G126" s="324">
        <f>SUM(G122:G125)</f>
        <v>0</v>
      </c>
      <c r="H126" s="324">
        <f>SUM(H122:H125)</f>
        <v>0</v>
      </c>
      <c r="O126" s="349"/>
      <c r="P126" s="349" t="s">
        <v>62</v>
      </c>
      <c r="Q126" s="361">
        <f>SUM(Q122:Q125)</f>
        <v>1041292.1706507393</v>
      </c>
      <c r="R126" s="361">
        <f>SUM(R122:R125)</f>
        <v>552448.6569037657</v>
      </c>
      <c r="S126" s="361">
        <f>SUM(S122:S125)</f>
        <v>1609117.4853556487</v>
      </c>
      <c r="T126" s="361">
        <f>SUM(T122:T125)</f>
        <v>1664808.6</v>
      </c>
      <c r="U126" s="361">
        <f>SUM(U122:U125)</f>
        <v>566697.0711297072</v>
      </c>
      <c r="V126" s="362">
        <f>SUM(Q126:U126)</f>
        <v>5434363.984039862</v>
      </c>
      <c r="W126" s="351">
        <f>D126-V126</f>
        <v>0</v>
      </c>
      <c r="AA126" s="349"/>
      <c r="AB126" s="1"/>
      <c r="AC126" s="238"/>
    </row>
    <row r="127" spans="1:27" ht="15.75" thickBot="1">
      <c r="A127" s="215"/>
      <c r="B127" s="216"/>
      <c r="C127" s="215"/>
      <c r="D127" s="215"/>
      <c r="O127" s="349"/>
      <c r="P127" s="349"/>
      <c r="Q127" s="355">
        <f>E27</f>
        <v>978516.6569874478</v>
      </c>
      <c r="R127" s="349"/>
      <c r="S127" s="349"/>
      <c r="T127" s="349"/>
      <c r="U127" s="349"/>
      <c r="V127" s="349"/>
      <c r="W127" s="349"/>
      <c r="AA127" s="349"/>
    </row>
    <row r="128" spans="1:29" ht="24" customHeight="1" thickBot="1">
      <c r="A128" s="217"/>
      <c r="B128" s="381" t="s">
        <v>67</v>
      </c>
      <c r="C128" s="382"/>
      <c r="D128" s="218">
        <f>D126-E116</f>
        <v>15059.628959526308</v>
      </c>
      <c r="N128" s="349" t="s">
        <v>200</v>
      </c>
      <c r="O128" s="349" t="s">
        <v>201</v>
      </c>
      <c r="P128" s="353">
        <f>Q126-Q127</f>
        <v>62775.51366329158</v>
      </c>
      <c r="Q128" s="349" t="s">
        <v>202</v>
      </c>
      <c r="R128" s="349" t="s">
        <v>203</v>
      </c>
      <c r="S128" s="349"/>
      <c r="T128" s="349"/>
      <c r="U128" s="355">
        <f>D124-U129</f>
        <v>-398.7399999999907</v>
      </c>
      <c r="V128" s="355">
        <f>D125-V129</f>
        <v>3171.261476979009</v>
      </c>
      <c r="W128" s="355">
        <f>D122-W129</f>
        <v>4012.2897776730824</v>
      </c>
      <c r="X128" s="355">
        <f>D123-X129</f>
        <v>8275.78796955198</v>
      </c>
      <c r="AA128" s="349"/>
      <c r="AB128" s="1"/>
      <c r="AC128" s="238"/>
    </row>
    <row r="129" spans="14:29" ht="15.75" thickBot="1">
      <c r="N129" s="349"/>
      <c r="O129" s="349"/>
      <c r="P129" s="349"/>
      <c r="Q129" s="349"/>
      <c r="R129" s="349"/>
      <c r="S129" s="349"/>
      <c r="T129" s="349"/>
      <c r="U129" s="355">
        <f>K116+P116+U116</f>
        <v>600398.74</v>
      </c>
      <c r="V129" s="355">
        <f>L116+Q116+V116</f>
        <v>930161.738523021</v>
      </c>
      <c r="W129" s="355">
        <f>M116+R116+W116</f>
        <v>1709116.50636</v>
      </c>
      <c r="X129" s="355">
        <f>N116+S116+X116</f>
        <v>2179626.399932636</v>
      </c>
      <c r="AA129" s="349"/>
      <c r="AB129" s="1"/>
      <c r="AC129" s="238"/>
    </row>
    <row r="130" spans="2:30" ht="15.75" thickBot="1">
      <c r="B130" s="53"/>
      <c r="H130" s="371" t="s">
        <v>213</v>
      </c>
      <c r="I130" s="372" t="s">
        <v>172</v>
      </c>
      <c r="J130" s="373">
        <v>2010</v>
      </c>
      <c r="K130" s="373">
        <v>2011</v>
      </c>
      <c r="L130" s="373">
        <v>2012</v>
      </c>
      <c r="M130" s="374" t="s">
        <v>62</v>
      </c>
      <c r="O130" s="363"/>
      <c r="P130" s="363"/>
      <c r="Q130" s="363">
        <v>2009</v>
      </c>
      <c r="R130" s="363">
        <v>2010</v>
      </c>
      <c r="S130" s="363">
        <v>2011</v>
      </c>
      <c r="T130" s="363">
        <v>2012</v>
      </c>
      <c r="U130" s="363" t="s">
        <v>168</v>
      </c>
      <c r="V130" s="363" t="s">
        <v>176</v>
      </c>
      <c r="W130" s="363" t="s">
        <v>169</v>
      </c>
      <c r="X130" s="363" t="s">
        <v>170</v>
      </c>
      <c r="Y130" s="349"/>
      <c r="AA130" s="349"/>
      <c r="AB130" s="1"/>
      <c r="AD130" s="238"/>
    </row>
    <row r="131" spans="8:30" ht="15">
      <c r="H131" s="89" t="s">
        <v>208</v>
      </c>
      <c r="I131" s="89" t="s">
        <v>168</v>
      </c>
      <c r="J131" s="368">
        <f>SUM(K5:K26)</f>
        <v>57200</v>
      </c>
      <c r="K131" s="368">
        <f>SUM(P5:P26)</f>
        <v>10200</v>
      </c>
      <c r="L131" s="368">
        <f>SUM(U5:U26)</f>
        <v>10200</v>
      </c>
      <c r="M131" s="368">
        <f>SUM(J131:L131)</f>
        <v>77600</v>
      </c>
      <c r="O131" s="363" t="s">
        <v>187</v>
      </c>
      <c r="P131" s="363" t="s">
        <v>168</v>
      </c>
      <c r="Q131" s="363">
        <v>25000</v>
      </c>
      <c r="R131" s="364">
        <f>K16+K18+K19+K21+K30+K31+K32</f>
        <v>187398.74</v>
      </c>
      <c r="S131" s="375">
        <f>P18+P30+P31+P32</f>
        <v>153150</v>
      </c>
      <c r="T131" s="364">
        <f>U5+U18+U30</f>
        <v>18200</v>
      </c>
      <c r="U131" s="364">
        <f>SUM(R131:T131)</f>
        <v>358748.74</v>
      </c>
      <c r="V131" s="363"/>
      <c r="W131" s="363"/>
      <c r="X131" s="363"/>
      <c r="Y131" s="349"/>
      <c r="AA131" s="349"/>
      <c r="AB131" s="1"/>
      <c r="AD131" s="238"/>
    </row>
    <row r="132" spans="8:30" ht="15">
      <c r="H132" s="83" t="s">
        <v>208</v>
      </c>
      <c r="I132" s="83" t="s">
        <v>176</v>
      </c>
      <c r="J132" s="366">
        <f>SUM(L5:L26)</f>
        <v>120038.449318</v>
      </c>
      <c r="K132" s="366">
        <f>SUM(Q5:Q26)</f>
        <v>118877.77</v>
      </c>
      <c r="L132" s="366">
        <f>SUM(V5:V26)</f>
        <v>118877.77</v>
      </c>
      <c r="M132" s="366">
        <f aca="true" t="shared" si="19" ref="M132:M154">SUM(J132:L132)</f>
        <v>357793.98931800004</v>
      </c>
      <c r="O132" s="363" t="s">
        <v>187</v>
      </c>
      <c r="P132" s="363" t="s">
        <v>176</v>
      </c>
      <c r="Q132" s="363">
        <v>17500</v>
      </c>
      <c r="R132" s="364">
        <f>L5+L24+L26+L96+L97+L98+L99+L101+L102+L103+L104+L106+L109</f>
        <v>344285.151818</v>
      </c>
      <c r="S132" s="375">
        <f>Q5+Q24+Q26+Q39+Q96+Q97+Q98+Q99+Q101+Q102+Q103+Q104+Q106+Q109</f>
        <v>348528.0075</v>
      </c>
      <c r="T132" s="364">
        <f>V5+V24+V26+V97+V98+V99+V101+V102+V103+V104+V106+V109</f>
        <v>237348.57920502094</v>
      </c>
      <c r="U132" s="363"/>
      <c r="V132" s="364">
        <f>SUM(R132:T132)</f>
        <v>930161.738523021</v>
      </c>
      <c r="W132" s="363"/>
      <c r="X132" s="363"/>
      <c r="Y132" s="349"/>
      <c r="AA132" s="349"/>
      <c r="AB132" s="1"/>
      <c r="AD132" s="238"/>
    </row>
    <row r="133" spans="8:30" ht="15">
      <c r="H133" s="83" t="s">
        <v>208</v>
      </c>
      <c r="I133" s="83" t="s">
        <v>169</v>
      </c>
      <c r="J133" s="366">
        <f>SUM(M5:M26)</f>
        <v>0</v>
      </c>
      <c r="K133" s="366">
        <f>SUM(R5:R26)</f>
        <v>0</v>
      </c>
      <c r="L133" s="366">
        <f>SUM(W5:W26)</f>
        <v>0</v>
      </c>
      <c r="M133" s="366">
        <f t="shared" si="19"/>
        <v>0</v>
      </c>
      <c r="O133" s="363" t="s">
        <v>187</v>
      </c>
      <c r="P133" s="363" t="s">
        <v>169</v>
      </c>
      <c r="Q133" s="363">
        <v>0</v>
      </c>
      <c r="R133" s="364">
        <f>M30+M39+M86+M87+M88+M89+M91</f>
        <v>158021.77492999999</v>
      </c>
      <c r="S133" s="375">
        <f>R30+R39+R86+R87+R88+R89+R91+R109</f>
        <v>353552.12143</v>
      </c>
      <c r="T133" s="364">
        <f>W30+W39+W87+W88+W89+W91</f>
        <v>248562.61</v>
      </c>
      <c r="U133" s="363"/>
      <c r="V133" s="363"/>
      <c r="W133" s="364">
        <f>SUM(R133:T133)</f>
        <v>760136.50636</v>
      </c>
      <c r="X133" s="363"/>
      <c r="Y133" s="349"/>
      <c r="AA133" s="349"/>
      <c r="AB133" s="1"/>
      <c r="AD133" s="238"/>
    </row>
    <row r="134" spans="8:30" ht="15">
      <c r="H134" s="83" t="s">
        <v>208</v>
      </c>
      <c r="I134" s="83" t="s">
        <v>170</v>
      </c>
      <c r="J134" s="366">
        <f>SUM(N5:N26)</f>
        <v>219383.521</v>
      </c>
      <c r="K134" s="366">
        <f>SUM(S5:S26)</f>
        <v>173129.2614</v>
      </c>
      <c r="L134" s="366">
        <f>SUM(X5:X26)</f>
        <v>161894.43038661088</v>
      </c>
      <c r="M134" s="366">
        <f t="shared" si="19"/>
        <v>554407.2127866109</v>
      </c>
      <c r="O134" s="363" t="s">
        <v>187</v>
      </c>
      <c r="P134" s="363" t="s">
        <v>170</v>
      </c>
      <c r="Q134" s="363">
        <v>0</v>
      </c>
      <c r="R134" s="364">
        <f>N7+N8+N9+N10+N11+N12+N13+N16+N18+N20+N21+N22+N23+N24+N26+N43+N44+N46+N59+N60+N61+N64</f>
        <v>425369.6028</v>
      </c>
      <c r="S134" s="375">
        <f>S7+S8+S9+S10+S11+S13+S18+S20+S22+S23+S24+S26+S43+S44+S46+S59+S60+S61+S64</f>
        <v>371460.84969999996</v>
      </c>
      <c r="T134" s="364">
        <f>X7+X8+X9+X10+X11+X13+X18+X20+X21+X22+X23+X24+X26+X43+X44+X46+X59+X60+X61+X64</f>
        <v>348495.947432636</v>
      </c>
      <c r="U134" s="363"/>
      <c r="V134" s="363"/>
      <c r="W134" s="363"/>
      <c r="X134" s="364">
        <f>SUM(R134:T134)</f>
        <v>1145326.399932636</v>
      </c>
      <c r="Y134" s="349"/>
      <c r="AA134" s="349"/>
      <c r="AB134" s="1"/>
      <c r="AD134" s="238"/>
    </row>
    <row r="135" spans="8:30" ht="15">
      <c r="H135" s="83" t="s">
        <v>209</v>
      </c>
      <c r="I135" s="83" t="s">
        <v>168</v>
      </c>
      <c r="J135" s="366">
        <f>SUM(K30:K39)</f>
        <v>253998.74</v>
      </c>
      <c r="K135" s="366">
        <f>SUM(P30:P39)</f>
        <v>258800</v>
      </c>
      <c r="L135" s="366">
        <f>SUM(U30:U39)</f>
        <v>10000</v>
      </c>
      <c r="M135" s="366">
        <f t="shared" si="19"/>
        <v>522798.74</v>
      </c>
      <c r="O135" s="363" t="s">
        <v>52</v>
      </c>
      <c r="P135" s="363" t="s">
        <v>168</v>
      </c>
      <c r="Q135" s="363">
        <v>0</v>
      </c>
      <c r="R135" s="364">
        <f>K34+K35+K36+K37</f>
        <v>123800</v>
      </c>
      <c r="S135" s="375">
        <f>P19+P34+P35+P36+P37</f>
        <v>115850</v>
      </c>
      <c r="T135" s="364">
        <f>U19</f>
        <v>2000</v>
      </c>
      <c r="U135" s="364">
        <f>SUM(R135:T135)</f>
        <v>241650</v>
      </c>
      <c r="V135" s="363"/>
      <c r="W135" s="363"/>
      <c r="X135" s="363"/>
      <c r="Y135" s="349"/>
      <c r="AA135" s="349"/>
      <c r="AB135" s="1"/>
      <c r="AD135" s="238"/>
    </row>
    <row r="136" spans="8:30" ht="15">
      <c r="H136" s="83" t="s">
        <v>209</v>
      </c>
      <c r="I136" s="83" t="s">
        <v>176</v>
      </c>
      <c r="J136" s="366">
        <f>SUM(L30:L39)</f>
        <v>0</v>
      </c>
      <c r="K136" s="366">
        <f>SUM(Q30:Q39)</f>
        <v>0</v>
      </c>
      <c r="L136" s="366">
        <f>SUM(V30:V39)</f>
        <v>0</v>
      </c>
      <c r="M136" s="366">
        <f t="shared" si="19"/>
        <v>0</v>
      </c>
      <c r="O136" s="363" t="s">
        <v>52</v>
      </c>
      <c r="P136" s="363" t="s">
        <v>176</v>
      </c>
      <c r="Q136" s="363">
        <v>0</v>
      </c>
      <c r="R136" s="363">
        <v>0</v>
      </c>
      <c r="S136" s="363">
        <v>0</v>
      </c>
      <c r="T136" s="363">
        <v>0</v>
      </c>
      <c r="U136" s="363"/>
      <c r="V136" s="364">
        <f>SUM(R136:T136)</f>
        <v>0</v>
      </c>
      <c r="W136" s="363"/>
      <c r="X136" s="363"/>
      <c r="Y136" s="349"/>
      <c r="AA136" s="349"/>
      <c r="AB136" s="1"/>
      <c r="AD136" s="238"/>
    </row>
    <row r="137" spans="8:30" ht="15">
      <c r="H137" s="83" t="s">
        <v>209</v>
      </c>
      <c r="I137" s="83" t="s">
        <v>169</v>
      </c>
      <c r="J137" s="366">
        <f>SUM(M30:M39)</f>
        <v>13508.8375</v>
      </c>
      <c r="K137" s="366">
        <f>SUM(R30:R39)</f>
        <v>0</v>
      </c>
      <c r="L137" s="366">
        <f>SUM(W30:W39)</f>
        <v>0</v>
      </c>
      <c r="M137" s="366">
        <f t="shared" si="19"/>
        <v>13508.8375</v>
      </c>
      <c r="O137" s="363" t="s">
        <v>52</v>
      </c>
      <c r="P137" s="363" t="s">
        <v>169</v>
      </c>
      <c r="Q137" s="363">
        <v>0</v>
      </c>
      <c r="R137" s="363">
        <v>0</v>
      </c>
      <c r="S137" s="363">
        <v>0</v>
      </c>
      <c r="T137" s="363">
        <v>0</v>
      </c>
      <c r="U137" s="363"/>
      <c r="V137" s="363"/>
      <c r="W137" s="364">
        <f>SUM(R137:T137)</f>
        <v>0</v>
      </c>
      <c r="X137" s="363"/>
      <c r="Y137" s="349"/>
      <c r="AA137" s="349"/>
      <c r="AB137" s="1"/>
      <c r="AD137" s="238"/>
    </row>
    <row r="138" spans="8:30" ht="15">
      <c r="H138" s="83" t="s">
        <v>209</v>
      </c>
      <c r="I138" s="83" t="s">
        <v>170</v>
      </c>
      <c r="J138" s="366">
        <f>SUM(N30:N39)</f>
        <v>0</v>
      </c>
      <c r="K138" s="366">
        <f>SUM(S30:S39)</f>
        <v>0</v>
      </c>
      <c r="L138" s="366">
        <f>SUM(X30:X39)</f>
        <v>0</v>
      </c>
      <c r="M138" s="366">
        <f t="shared" si="19"/>
        <v>0</v>
      </c>
      <c r="O138" s="363" t="s">
        <v>52</v>
      </c>
      <c r="P138" s="363" t="s">
        <v>170</v>
      </c>
      <c r="Q138" s="363">
        <v>0</v>
      </c>
      <c r="R138" s="364">
        <f>N14+N17+N19+N45+N48+N49+N50+N51+N53+N54+N55+N56+N57</f>
        <v>396400</v>
      </c>
      <c r="S138" s="375">
        <f>S14+S19+S45+S48+S49+S50+S51+S53+S54+S55+S56+S57</f>
        <v>381900</v>
      </c>
      <c r="T138" s="364">
        <f>X14+X17+X19+X45+X48+X49+X50+X51+X53+X54+X55+X56+X57</f>
        <v>256000</v>
      </c>
      <c r="U138" s="363"/>
      <c r="V138" s="363"/>
      <c r="W138" s="363"/>
      <c r="X138" s="364">
        <f>SUM(R138:T138)</f>
        <v>1034300</v>
      </c>
      <c r="Y138" s="349"/>
      <c r="AA138" s="349"/>
      <c r="AB138" s="1"/>
      <c r="AD138" s="238"/>
    </row>
    <row r="139" spans="8:30" ht="15">
      <c r="H139" s="83" t="s">
        <v>210</v>
      </c>
      <c r="I139" s="83" t="s">
        <v>168</v>
      </c>
      <c r="J139" s="366">
        <f>SUM(K43:K64)</f>
        <v>0</v>
      </c>
      <c r="K139" s="366">
        <f>SUM(P43:P64)</f>
        <v>0</v>
      </c>
      <c r="L139" s="366">
        <f>SUM(U43:U64)</f>
        <v>0</v>
      </c>
      <c r="M139" s="366">
        <f t="shared" si="19"/>
        <v>0</v>
      </c>
      <c r="O139" s="363" t="s">
        <v>51</v>
      </c>
      <c r="P139" s="363" t="s">
        <v>168</v>
      </c>
      <c r="Q139" s="363">
        <v>0</v>
      </c>
      <c r="R139" s="363">
        <v>0</v>
      </c>
      <c r="S139" s="363">
        <v>0</v>
      </c>
      <c r="T139" s="363">
        <v>0</v>
      </c>
      <c r="U139" s="364">
        <f>SUM(R139:T139)</f>
        <v>0</v>
      </c>
      <c r="V139" s="363"/>
      <c r="W139" s="363"/>
      <c r="X139" s="363"/>
      <c r="Y139" s="349"/>
      <c r="AA139" s="238"/>
      <c r="AB139" s="1"/>
      <c r="AD139" s="238"/>
    </row>
    <row r="140" spans="8:30" ht="15">
      <c r="H140" s="83" t="s">
        <v>210</v>
      </c>
      <c r="I140" s="83" t="s">
        <v>176</v>
      </c>
      <c r="J140" s="366">
        <f>SUM(L43:L64)</f>
        <v>0</v>
      </c>
      <c r="K140" s="366">
        <f>SUM(Q43:Q64)</f>
        <v>0</v>
      </c>
      <c r="L140" s="366">
        <f>SUM(V43:V64)</f>
        <v>0</v>
      </c>
      <c r="M140" s="366">
        <f t="shared" si="19"/>
        <v>0</v>
      </c>
      <c r="O140" s="363" t="s">
        <v>51</v>
      </c>
      <c r="P140" s="363" t="s">
        <v>176</v>
      </c>
      <c r="Q140" s="363">
        <v>0</v>
      </c>
      <c r="R140" s="363">
        <v>0</v>
      </c>
      <c r="S140" s="363">
        <v>0</v>
      </c>
      <c r="T140" s="363">
        <v>0</v>
      </c>
      <c r="U140" s="363"/>
      <c r="V140" s="364">
        <f>SUM(R140:T140)</f>
        <v>0</v>
      </c>
      <c r="W140" s="363"/>
      <c r="X140" s="363"/>
      <c r="Y140" s="349"/>
      <c r="AA140" s="238"/>
      <c r="AB140" s="1"/>
      <c r="AD140" s="238"/>
    </row>
    <row r="141" spans="8:30" ht="15">
      <c r="H141" s="83" t="s">
        <v>210</v>
      </c>
      <c r="I141" s="83" t="s">
        <v>169</v>
      </c>
      <c r="J141" s="366">
        <f>SUM(M43:M64)</f>
        <v>0</v>
      </c>
      <c r="K141" s="366">
        <f>SUM(R43:R64)</f>
        <v>0</v>
      </c>
      <c r="L141" s="366">
        <f>SUM(W43:W64)</f>
        <v>0</v>
      </c>
      <c r="M141" s="366">
        <f t="shared" si="19"/>
        <v>0</v>
      </c>
      <c r="O141" s="363" t="s">
        <v>51</v>
      </c>
      <c r="P141" s="363" t="s">
        <v>169</v>
      </c>
      <c r="Q141" s="363">
        <v>0</v>
      </c>
      <c r="R141" s="364">
        <f>M68+M69+M70+M71+M72+M73+M74+M75+M76+M77+M78+M79+M80+M81+M82+M83+M84</f>
        <v>518490</v>
      </c>
      <c r="S141" s="375">
        <f>R68+R69+R70+R71+R75+R76+R77+R78+R79+R80+R81+R82+R83+R84</f>
        <v>430490</v>
      </c>
      <c r="T141" s="363">
        <v>0</v>
      </c>
      <c r="U141" s="363"/>
      <c r="V141" s="363"/>
      <c r="W141" s="364">
        <f>SUM(R141:T141)</f>
        <v>948980</v>
      </c>
      <c r="X141" s="363"/>
      <c r="Y141" s="349"/>
      <c r="AA141" s="238"/>
      <c r="AB141" s="1"/>
      <c r="AD141" s="238"/>
    </row>
    <row r="142" spans="8:30" ht="15">
      <c r="H142" s="83" t="s">
        <v>210</v>
      </c>
      <c r="I142" s="83" t="s">
        <v>170</v>
      </c>
      <c r="J142" s="366">
        <f>SUM(N43:N64)</f>
        <v>602386.0818</v>
      </c>
      <c r="K142" s="366">
        <f>SUM(S43:S64)</f>
        <v>580231.5883</v>
      </c>
      <c r="L142" s="366">
        <f>SUM(X43:X64)</f>
        <v>442601.51704602514</v>
      </c>
      <c r="M142" s="366">
        <f t="shared" si="19"/>
        <v>1625219.1871460252</v>
      </c>
      <c r="O142" s="363" t="s">
        <v>51</v>
      </c>
      <c r="P142" s="363" t="s">
        <v>170</v>
      </c>
      <c r="Q142" s="363">
        <v>0</v>
      </c>
      <c r="R142" s="363">
        <v>0</v>
      </c>
      <c r="S142" s="363">
        <v>0</v>
      </c>
      <c r="T142" s="363">
        <v>0</v>
      </c>
      <c r="U142" s="363"/>
      <c r="V142" s="363"/>
      <c r="W142" s="363"/>
      <c r="X142" s="364">
        <f>SUM(R142:T142)</f>
        <v>0</v>
      </c>
      <c r="Y142" s="349"/>
      <c r="AA142" s="238"/>
      <c r="AB142" s="1"/>
      <c r="AD142" s="238"/>
    </row>
    <row r="143" spans="8:30" ht="15">
      <c r="H143" s="83" t="s">
        <v>211</v>
      </c>
      <c r="I143" s="83" t="s">
        <v>168</v>
      </c>
      <c r="J143" s="366">
        <f>SUM(K68:K91)</f>
        <v>0</v>
      </c>
      <c r="K143" s="366">
        <f>SUM(P68:P91)</f>
        <v>0</v>
      </c>
      <c r="L143" s="366">
        <f>SUM(U68:U91)</f>
        <v>0</v>
      </c>
      <c r="M143" s="366">
        <f t="shared" si="19"/>
        <v>0</v>
      </c>
      <c r="O143" s="363"/>
      <c r="P143" s="363" t="s">
        <v>62</v>
      </c>
      <c r="Q143" s="364">
        <f aca="true" t="shared" si="20" ref="Q143:X143">SUM(Q131:Q142)</f>
        <v>42500</v>
      </c>
      <c r="R143" s="364">
        <f t="shared" si="20"/>
        <v>2153765.269548</v>
      </c>
      <c r="S143" s="364">
        <f t="shared" si="20"/>
        <v>2154930.97863</v>
      </c>
      <c r="T143" s="364">
        <f t="shared" si="20"/>
        <v>1110607.136637657</v>
      </c>
      <c r="U143" s="364">
        <f t="shared" si="20"/>
        <v>600398.74</v>
      </c>
      <c r="V143" s="364">
        <f t="shared" si="20"/>
        <v>930161.738523021</v>
      </c>
      <c r="W143" s="364">
        <f t="shared" si="20"/>
        <v>1709116.50636</v>
      </c>
      <c r="X143" s="364">
        <f t="shared" si="20"/>
        <v>2179626.399932636</v>
      </c>
      <c r="Y143" s="349"/>
      <c r="AA143" s="238"/>
      <c r="AB143" s="1"/>
      <c r="AD143" s="238"/>
    </row>
    <row r="144" spans="8:30" ht="15">
      <c r="H144" s="83" t="s">
        <v>211</v>
      </c>
      <c r="I144" s="83" t="s">
        <v>176</v>
      </c>
      <c r="J144" s="366">
        <f>SUM(L68:L91)</f>
        <v>0</v>
      </c>
      <c r="K144" s="366">
        <f>SUM(Q68:Q91)</f>
        <v>0</v>
      </c>
      <c r="L144" s="366">
        <f>SUM(V68:V91)</f>
        <v>0</v>
      </c>
      <c r="M144" s="366">
        <f t="shared" si="19"/>
        <v>0</v>
      </c>
      <c r="O144" s="364">
        <f>E116</f>
        <v>5419304.3550803345</v>
      </c>
      <c r="P144" s="364">
        <f>T117+Y117</f>
        <v>3265538.1152676567</v>
      </c>
      <c r="Q144" s="364"/>
      <c r="R144" s="364">
        <f>O117-R143</f>
        <v>0</v>
      </c>
      <c r="S144" s="365">
        <f>T117-S143</f>
        <v>0</v>
      </c>
      <c r="T144" s="365">
        <f>Y117-T143</f>
        <v>0</v>
      </c>
      <c r="U144" s="379">
        <f>SUM(U143:X143)</f>
        <v>5419303.3848156575</v>
      </c>
      <c r="V144" s="380"/>
      <c r="W144" s="380"/>
      <c r="X144" s="380"/>
      <c r="Y144" s="349"/>
      <c r="AA144" s="238"/>
      <c r="AB144" s="1"/>
      <c r="AD144" s="238"/>
    </row>
    <row r="145" spans="8:28" ht="15">
      <c r="H145" s="83" t="s">
        <v>211</v>
      </c>
      <c r="I145" s="83" t="s">
        <v>169</v>
      </c>
      <c r="J145" s="366">
        <f>SUM(M68:M91)</f>
        <v>663002.93743</v>
      </c>
      <c r="K145" s="366">
        <f>SUM(R68:R91)</f>
        <v>784042.12143</v>
      </c>
      <c r="L145" s="366">
        <f>SUM(W68:W91)</f>
        <v>248562.61</v>
      </c>
      <c r="M145" s="366">
        <f t="shared" si="19"/>
        <v>1695607.66886</v>
      </c>
      <c r="N145" s="349"/>
      <c r="O145" s="349"/>
      <c r="P145" s="349"/>
      <c r="Q145" s="349"/>
      <c r="R145" s="349"/>
      <c r="S145" s="349"/>
      <c r="T145" s="349"/>
      <c r="U145" s="349"/>
      <c r="V145" s="349"/>
      <c r="W145" s="349"/>
      <c r="AA145" s="238"/>
      <c r="AB145" s="1"/>
    </row>
    <row r="146" spans="8:28" ht="15">
      <c r="H146" s="83" t="s">
        <v>211</v>
      </c>
      <c r="I146" s="83" t="s">
        <v>170</v>
      </c>
      <c r="J146" s="366">
        <f>SUM(N68:N91)</f>
        <v>0</v>
      </c>
      <c r="K146" s="366">
        <f>SUM(S68:S91)</f>
        <v>0</v>
      </c>
      <c r="L146" s="366">
        <f>SUM(X68:X91)</f>
        <v>0</v>
      </c>
      <c r="M146" s="366">
        <f t="shared" si="19"/>
        <v>0</v>
      </c>
      <c r="AA146" s="238"/>
      <c r="AB146" s="1"/>
    </row>
    <row r="147" spans="8:28" ht="15">
      <c r="H147" s="83" t="s">
        <v>212</v>
      </c>
      <c r="I147" s="83" t="s">
        <v>168</v>
      </c>
      <c r="J147" s="366">
        <f>SUM(K96:K109)</f>
        <v>0</v>
      </c>
      <c r="K147" s="366">
        <f>SUM(P96:P109)</f>
        <v>0</v>
      </c>
      <c r="L147" s="366">
        <f>SUM(U96:U109)</f>
        <v>0</v>
      </c>
      <c r="M147" s="366">
        <f t="shared" si="19"/>
        <v>0</v>
      </c>
      <c r="AA147" s="238"/>
      <c r="AB147" s="1"/>
    </row>
    <row r="148" spans="8:28" ht="15">
      <c r="H148" s="83" t="s">
        <v>212</v>
      </c>
      <c r="I148" s="83" t="s">
        <v>176</v>
      </c>
      <c r="J148" s="366">
        <f>SUM(L96:L109)</f>
        <v>224246.7025</v>
      </c>
      <c r="K148" s="366">
        <f>SUM(Q96:Q109)</f>
        <v>229650.2375</v>
      </c>
      <c r="L148" s="366">
        <f>SUM(V96:V109)</f>
        <v>118470.80920502091</v>
      </c>
      <c r="M148" s="366">
        <f t="shared" si="19"/>
        <v>572367.749205021</v>
      </c>
      <c r="AA148" s="238"/>
      <c r="AB148" s="1"/>
    </row>
    <row r="149" spans="8:28" ht="15">
      <c r="H149" s="83" t="s">
        <v>212</v>
      </c>
      <c r="I149" s="83" t="s">
        <v>169</v>
      </c>
      <c r="J149" s="366">
        <f>SUM(M96:M109)</f>
        <v>0</v>
      </c>
      <c r="K149" s="366">
        <f>SUM(R96:R109)</f>
        <v>0</v>
      </c>
      <c r="L149" s="366">
        <f>SUM(W96:W109)</f>
        <v>0</v>
      </c>
      <c r="M149" s="366">
        <f>SUM(J149:L149)</f>
        <v>0</v>
      </c>
      <c r="AB149" s="1"/>
    </row>
    <row r="150" spans="8:28" ht="15.75" thickBot="1">
      <c r="H150" s="369" t="s">
        <v>212</v>
      </c>
      <c r="I150" s="369" t="s">
        <v>170</v>
      </c>
      <c r="J150" s="370">
        <f>SUM(N96:N109)</f>
        <v>0</v>
      </c>
      <c r="K150" s="370">
        <f>SUM(S96:S109)</f>
        <v>0</v>
      </c>
      <c r="L150" s="370">
        <f>SUM(X96:X109)</f>
        <v>0</v>
      </c>
      <c r="M150" s="370">
        <f>SUM(J150:L150)</f>
        <v>0</v>
      </c>
      <c r="N150" s="237">
        <f>SUM(M131:M150)</f>
        <v>5419303.3848156575</v>
      </c>
      <c r="AB150" s="1"/>
    </row>
    <row r="151" spans="8:28" ht="15.75" thickTop="1">
      <c r="H151" s="89" t="s">
        <v>62</v>
      </c>
      <c r="I151" s="89" t="s">
        <v>168</v>
      </c>
      <c r="J151" s="367">
        <f aca="true" t="shared" si="21" ref="J151:L154">J131+J135+J139+J143+J147</f>
        <v>311198.74</v>
      </c>
      <c r="K151" s="367">
        <f t="shared" si="21"/>
        <v>269000</v>
      </c>
      <c r="L151" s="367">
        <f t="shared" si="21"/>
        <v>20200</v>
      </c>
      <c r="M151" s="368">
        <f t="shared" si="19"/>
        <v>600398.74</v>
      </c>
      <c r="AB151" s="1"/>
    </row>
    <row r="152" spans="8:28" ht="15">
      <c r="H152" s="83" t="s">
        <v>62</v>
      </c>
      <c r="I152" s="83" t="s">
        <v>176</v>
      </c>
      <c r="J152" s="367">
        <f t="shared" si="21"/>
        <v>344285.151818</v>
      </c>
      <c r="K152" s="367">
        <f t="shared" si="21"/>
        <v>348528.0075</v>
      </c>
      <c r="L152" s="367">
        <f t="shared" si="21"/>
        <v>237348.5792050209</v>
      </c>
      <c r="M152" s="366">
        <f t="shared" si="19"/>
        <v>930161.738523021</v>
      </c>
      <c r="AB152" s="1"/>
    </row>
    <row r="153" spans="8:28" ht="15">
      <c r="H153" s="83" t="s">
        <v>62</v>
      </c>
      <c r="I153" s="83" t="s">
        <v>169</v>
      </c>
      <c r="J153" s="367">
        <f t="shared" si="21"/>
        <v>676511.7749300001</v>
      </c>
      <c r="K153" s="367">
        <f t="shared" si="21"/>
        <v>784042.12143</v>
      </c>
      <c r="L153" s="367">
        <f t="shared" si="21"/>
        <v>248562.61</v>
      </c>
      <c r="M153" s="366">
        <f t="shared" si="19"/>
        <v>1709116.50636</v>
      </c>
      <c r="AB153" s="1"/>
    </row>
    <row r="154" spans="8:28" ht="15">
      <c r="H154" s="83" t="s">
        <v>62</v>
      </c>
      <c r="I154" s="83" t="s">
        <v>170</v>
      </c>
      <c r="J154" s="367">
        <f t="shared" si="21"/>
        <v>821769.6028</v>
      </c>
      <c r="K154" s="367">
        <f t="shared" si="21"/>
        <v>753360.8496999999</v>
      </c>
      <c r="L154" s="367">
        <f t="shared" si="21"/>
        <v>604495.947432636</v>
      </c>
      <c r="M154" s="366">
        <f t="shared" si="19"/>
        <v>2179626.399932636</v>
      </c>
      <c r="N154" s="237">
        <f>SUM(M151:M154)</f>
        <v>5419303.3848156575</v>
      </c>
      <c r="AB154" s="1"/>
    </row>
  </sheetData>
  <sheetProtection/>
  <mergeCells count="8">
    <mergeCell ref="U144:X144"/>
    <mergeCell ref="B128:C128"/>
    <mergeCell ref="P1:T1"/>
    <mergeCell ref="K1:O1"/>
    <mergeCell ref="U1:Y1"/>
    <mergeCell ref="A120:D120"/>
    <mergeCell ref="A1:E1"/>
    <mergeCell ref="A126:C126"/>
  </mergeCells>
  <printOptions/>
  <pageMargins left="0.1968503937007874" right="0.15748031496062992" top="0.5118110236220472" bottom="0.31496062992125984" header="0.31496062992125984" footer="0.1968503937007874"/>
  <pageSetup fitToHeight="2" fitToWidth="2" horizontalDpi="600" verticalDpi="600" orientation="landscape" paperSize="9" scale="35" r:id="rId3"/>
  <headerFooter>
    <oddHeader>&amp;C&amp;F</oddHeader>
    <oddFooter>&amp;CPage &amp;P of &amp;N</oddFooter>
  </headerFooter>
  <ignoredErrors>
    <ignoredError sqref="D124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selection activeCell="E3" sqref="E3:E20"/>
    </sheetView>
  </sheetViews>
  <sheetFormatPr defaultColWidth="9.140625" defaultRowHeight="15"/>
  <cols>
    <col min="2" max="2" width="53.28125" style="0" bestFit="1" customWidth="1"/>
    <col min="3" max="3" width="13.00390625" style="0" bestFit="1" customWidth="1"/>
    <col min="4" max="4" width="6.7109375" style="149" customWidth="1"/>
    <col min="5" max="5" width="11.7109375" style="0" customWidth="1"/>
    <col min="6" max="6" width="11.7109375" style="0" hidden="1" customWidth="1"/>
    <col min="7" max="7" width="15.421875" style="0" hidden="1" customWidth="1"/>
    <col min="8" max="11" width="13.140625" style="0" hidden="1" customWidth="1"/>
    <col min="12" max="12" width="11.57421875" style="0" hidden="1" customWidth="1"/>
    <col min="13" max="13" width="13.140625" style="0" bestFit="1" customWidth="1"/>
    <col min="14" max="14" width="7.7109375" style="0" hidden="1" customWidth="1"/>
    <col min="15" max="16" width="0" style="0" hidden="1" customWidth="1"/>
    <col min="17" max="17" width="9.421875" style="0" hidden="1" customWidth="1"/>
    <col min="18" max="18" width="0" style="0" hidden="1" customWidth="1"/>
    <col min="19" max="19" width="13.140625" style="0" bestFit="1" customWidth="1"/>
  </cols>
  <sheetData>
    <row r="1" spans="2:14" ht="37.5" customHeight="1">
      <c r="B1" s="148" t="s">
        <v>134</v>
      </c>
      <c r="N1" s="150" t="s">
        <v>135</v>
      </c>
    </row>
    <row r="2" spans="1:17" ht="33.75" customHeight="1">
      <c r="A2" s="151"/>
      <c r="B2" s="56" t="s">
        <v>53</v>
      </c>
      <c r="C2" s="56" t="s">
        <v>54</v>
      </c>
      <c r="D2" s="57" t="s">
        <v>55</v>
      </c>
      <c r="E2" s="58" t="s">
        <v>56</v>
      </c>
      <c r="F2" s="152" t="s">
        <v>56</v>
      </c>
      <c r="H2" s="153" t="s">
        <v>136</v>
      </c>
      <c r="I2" s="153" t="s">
        <v>137</v>
      </c>
      <c r="J2" s="153" t="s">
        <v>138</v>
      </c>
      <c r="K2" s="154" t="s">
        <v>139</v>
      </c>
      <c r="L2" s="154" t="s">
        <v>140</v>
      </c>
      <c r="M2" s="152" t="s">
        <v>141</v>
      </c>
      <c r="Q2">
        <v>1.7</v>
      </c>
    </row>
    <row r="3" spans="1:13" ht="24.75">
      <c r="A3" s="155"/>
      <c r="B3" s="63" t="s">
        <v>142</v>
      </c>
      <c r="C3" s="60">
        <v>20000</v>
      </c>
      <c r="D3" s="61">
        <v>2</v>
      </c>
      <c r="E3" s="62">
        <f aca="true" t="shared" si="0" ref="E3:E17">C3*D3</f>
        <v>40000</v>
      </c>
      <c r="F3" s="60">
        <f aca="true" t="shared" si="1" ref="F3:F20">C3*D3</f>
        <v>40000</v>
      </c>
      <c r="G3" s="156" t="s">
        <v>143</v>
      </c>
      <c r="H3" s="157"/>
      <c r="I3" s="157">
        <f>E3</f>
        <v>40000</v>
      </c>
      <c r="J3" s="158"/>
      <c r="K3" s="158"/>
      <c r="L3" s="159"/>
      <c r="M3" s="160" t="s">
        <v>137</v>
      </c>
    </row>
    <row r="4" spans="1:13" ht="15">
      <c r="A4" s="155"/>
      <c r="B4" s="63" t="s">
        <v>144</v>
      </c>
      <c r="C4" s="60">
        <v>60000</v>
      </c>
      <c r="D4" s="61">
        <v>2</v>
      </c>
      <c r="E4" s="62">
        <f t="shared" si="0"/>
        <v>120000</v>
      </c>
      <c r="F4" s="60">
        <f t="shared" si="1"/>
        <v>120000</v>
      </c>
      <c r="G4" s="156" t="s">
        <v>143</v>
      </c>
      <c r="H4" s="157"/>
      <c r="I4" s="157">
        <f>E4</f>
        <v>120000</v>
      </c>
      <c r="J4" s="158"/>
      <c r="K4" s="158"/>
      <c r="L4" s="159"/>
      <c r="M4" s="160" t="s">
        <v>137</v>
      </c>
    </row>
    <row r="5" spans="1:13" ht="15">
      <c r="A5" s="155"/>
      <c r="B5" s="63" t="s">
        <v>59</v>
      </c>
      <c r="C5" s="60">
        <v>20000</v>
      </c>
      <c r="D5" s="61">
        <v>1</v>
      </c>
      <c r="E5" s="62">
        <f t="shared" si="0"/>
        <v>20000</v>
      </c>
      <c r="F5" s="60">
        <f t="shared" si="1"/>
        <v>20000</v>
      </c>
      <c r="G5" s="156"/>
      <c r="H5" s="157"/>
      <c r="I5" s="157">
        <f>E5</f>
        <v>20000</v>
      </c>
      <c r="J5" s="158"/>
      <c r="K5" s="158"/>
      <c r="L5" s="159"/>
      <c r="M5" s="160" t="s">
        <v>137</v>
      </c>
    </row>
    <row r="6" spans="1:17" ht="15">
      <c r="A6" s="155"/>
      <c r="B6" s="59" t="s">
        <v>145</v>
      </c>
      <c r="C6" s="60">
        <v>2400</v>
      </c>
      <c r="D6" s="61">
        <v>24</v>
      </c>
      <c r="E6" s="62">
        <f>C6*D6</f>
        <v>57600</v>
      </c>
      <c r="F6" s="60">
        <f>C6*D6</f>
        <v>57600</v>
      </c>
      <c r="G6" s="159"/>
      <c r="H6" s="158"/>
      <c r="I6" s="158">
        <f>E6</f>
        <v>57600</v>
      </c>
      <c r="J6" s="158"/>
      <c r="K6" s="158"/>
      <c r="L6" s="158"/>
      <c r="M6" s="160" t="s">
        <v>137</v>
      </c>
      <c r="N6" s="150" t="s">
        <v>146</v>
      </c>
      <c r="Q6" s="161">
        <f>L6/$Q$2</f>
        <v>0</v>
      </c>
    </row>
    <row r="7" spans="1:13" ht="15">
      <c r="A7" s="155"/>
      <c r="B7" s="162" t="s">
        <v>58</v>
      </c>
      <c r="C7" s="65">
        <v>60000</v>
      </c>
      <c r="D7" s="66">
        <v>1</v>
      </c>
      <c r="E7" s="67">
        <f t="shared" si="0"/>
        <v>60000</v>
      </c>
      <c r="F7" s="65">
        <f t="shared" si="1"/>
        <v>60000</v>
      </c>
      <c r="G7" s="163" t="s">
        <v>147</v>
      </c>
      <c r="H7" s="164"/>
      <c r="I7" s="164"/>
      <c r="J7" s="165">
        <f aca="true" t="shared" si="2" ref="J7:J17">E7</f>
        <v>60000</v>
      </c>
      <c r="K7" s="165"/>
      <c r="L7" s="166"/>
      <c r="M7" s="167" t="s">
        <v>138</v>
      </c>
    </row>
    <row r="8" spans="1:13" ht="15">
      <c r="A8" s="155"/>
      <c r="B8" s="64" t="s">
        <v>148</v>
      </c>
      <c r="C8" s="65">
        <v>1500</v>
      </c>
      <c r="D8" s="66">
        <v>13</v>
      </c>
      <c r="E8" s="67">
        <f t="shared" si="0"/>
        <v>19500</v>
      </c>
      <c r="F8" s="65">
        <f t="shared" si="1"/>
        <v>19500</v>
      </c>
      <c r="G8" s="163"/>
      <c r="H8" s="164"/>
      <c r="I8" s="164"/>
      <c r="J8" s="165">
        <f t="shared" si="2"/>
        <v>19500</v>
      </c>
      <c r="K8" s="165"/>
      <c r="L8" s="166"/>
      <c r="M8" s="167" t="s">
        <v>138</v>
      </c>
    </row>
    <row r="9" spans="1:13" ht="15">
      <c r="A9" s="155"/>
      <c r="B9" s="64" t="s">
        <v>57</v>
      </c>
      <c r="C9" s="65">
        <f>120000+80000</f>
        <v>200000</v>
      </c>
      <c r="D9" s="66">
        <v>1</v>
      </c>
      <c r="E9" s="67">
        <f t="shared" si="0"/>
        <v>200000</v>
      </c>
      <c r="F9" s="65">
        <f t="shared" si="1"/>
        <v>200000</v>
      </c>
      <c r="G9" s="163" t="s">
        <v>149</v>
      </c>
      <c r="H9" s="164"/>
      <c r="I9" s="164"/>
      <c r="J9" s="165">
        <f t="shared" si="2"/>
        <v>200000</v>
      </c>
      <c r="K9" s="165"/>
      <c r="L9" s="166"/>
      <c r="M9" s="167" t="s">
        <v>138</v>
      </c>
    </row>
    <row r="10" spans="1:13" ht="15">
      <c r="A10" s="155"/>
      <c r="B10" s="64" t="s">
        <v>150</v>
      </c>
      <c r="C10" s="65">
        <v>80000</v>
      </c>
      <c r="D10" s="66">
        <v>1</v>
      </c>
      <c r="E10" s="67">
        <f t="shared" si="0"/>
        <v>80000</v>
      </c>
      <c r="F10" s="65">
        <f t="shared" si="1"/>
        <v>80000</v>
      </c>
      <c r="G10" s="163" t="s">
        <v>151</v>
      </c>
      <c r="H10" s="164"/>
      <c r="I10" s="164"/>
      <c r="J10" s="165">
        <f t="shared" si="2"/>
        <v>80000</v>
      </c>
      <c r="K10" s="165"/>
      <c r="L10" s="166"/>
      <c r="M10" s="167" t="s">
        <v>138</v>
      </c>
    </row>
    <row r="11" spans="1:13" ht="15">
      <c r="A11" s="155"/>
      <c r="B11" s="162" t="s">
        <v>152</v>
      </c>
      <c r="C11" s="65">
        <v>70000</v>
      </c>
      <c r="D11" s="66">
        <v>1</v>
      </c>
      <c r="E11" s="67">
        <f t="shared" si="0"/>
        <v>70000</v>
      </c>
      <c r="F11" s="65">
        <f t="shared" si="1"/>
        <v>70000</v>
      </c>
      <c r="G11" s="163" t="s">
        <v>151</v>
      </c>
      <c r="H11" s="164"/>
      <c r="I11" s="164"/>
      <c r="J11" s="165">
        <f t="shared" si="2"/>
        <v>70000</v>
      </c>
      <c r="K11" s="165"/>
      <c r="L11" s="166"/>
      <c r="M11" s="167" t="s">
        <v>138</v>
      </c>
    </row>
    <row r="12" spans="1:13" ht="15">
      <c r="A12" s="155"/>
      <c r="B12" s="64" t="s">
        <v>63</v>
      </c>
      <c r="C12" s="65">
        <f>100000+50000</f>
        <v>150000</v>
      </c>
      <c r="D12" s="66">
        <v>1</v>
      </c>
      <c r="E12" s="67">
        <f t="shared" si="0"/>
        <v>150000</v>
      </c>
      <c r="F12" s="65">
        <f t="shared" si="1"/>
        <v>150000</v>
      </c>
      <c r="G12" s="163" t="s">
        <v>153</v>
      </c>
      <c r="H12" s="164"/>
      <c r="I12" s="164"/>
      <c r="J12" s="165">
        <f t="shared" si="2"/>
        <v>150000</v>
      </c>
      <c r="K12" s="165"/>
      <c r="L12" s="166"/>
      <c r="M12" s="167" t="s">
        <v>138</v>
      </c>
    </row>
    <row r="13" spans="1:13" ht="15">
      <c r="A13" s="155"/>
      <c r="B13" s="64" t="s">
        <v>64</v>
      </c>
      <c r="C13" s="65">
        <f>100000+70000</f>
        <v>170000</v>
      </c>
      <c r="D13" s="66">
        <v>1</v>
      </c>
      <c r="E13" s="67">
        <f t="shared" si="0"/>
        <v>170000</v>
      </c>
      <c r="F13" s="65">
        <f t="shared" si="1"/>
        <v>170000</v>
      </c>
      <c r="G13" s="163" t="s">
        <v>153</v>
      </c>
      <c r="H13" s="164"/>
      <c r="I13" s="164"/>
      <c r="J13" s="165">
        <f t="shared" si="2"/>
        <v>170000</v>
      </c>
      <c r="K13" s="165"/>
      <c r="L13" s="166"/>
      <c r="M13" s="167" t="s">
        <v>138</v>
      </c>
    </row>
    <row r="14" spans="1:17" ht="15">
      <c r="A14" s="155"/>
      <c r="B14" s="64" t="s">
        <v>154</v>
      </c>
      <c r="C14" s="65">
        <v>2400</v>
      </c>
      <c r="D14" s="66">
        <v>30</v>
      </c>
      <c r="E14" s="67">
        <f>C14*D14</f>
        <v>72000</v>
      </c>
      <c r="F14" s="65"/>
      <c r="G14" s="166"/>
      <c r="H14" s="165"/>
      <c r="I14" s="165"/>
      <c r="J14" s="165">
        <f>E14</f>
        <v>72000</v>
      </c>
      <c r="K14" s="165"/>
      <c r="L14" s="165"/>
      <c r="M14" s="167" t="s">
        <v>138</v>
      </c>
      <c r="N14" s="150"/>
      <c r="Q14" s="161"/>
    </row>
    <row r="15" spans="1:17" ht="15">
      <c r="A15" s="155"/>
      <c r="B15" s="64" t="s">
        <v>99</v>
      </c>
      <c r="C15" s="65">
        <v>1500</v>
      </c>
      <c r="D15" s="66">
        <v>36</v>
      </c>
      <c r="E15" s="67">
        <f>C15*D15</f>
        <v>54000</v>
      </c>
      <c r="F15" s="65">
        <f>C15*D15</f>
        <v>54000</v>
      </c>
      <c r="G15" s="166"/>
      <c r="H15" s="165"/>
      <c r="I15" s="165"/>
      <c r="J15" s="165">
        <f>E15</f>
        <v>54000</v>
      </c>
      <c r="K15" s="165"/>
      <c r="L15" s="165"/>
      <c r="M15" s="167" t="s">
        <v>138</v>
      </c>
      <c r="Q15" s="161">
        <f>L15/$Q$2</f>
        <v>0</v>
      </c>
    </row>
    <row r="16" spans="1:17" ht="15">
      <c r="A16" s="155"/>
      <c r="B16" s="64" t="s">
        <v>155</v>
      </c>
      <c r="C16" s="65">
        <v>2550</v>
      </c>
      <c r="D16" s="66">
        <v>36</v>
      </c>
      <c r="E16" s="67">
        <f>C16*D16</f>
        <v>91800</v>
      </c>
      <c r="F16" s="65" t="e">
        <f>#REF!*#REF!</f>
        <v>#REF!</v>
      </c>
      <c r="G16" s="166"/>
      <c r="H16" s="165"/>
      <c r="I16" s="165"/>
      <c r="J16" s="165">
        <f>E16</f>
        <v>91800</v>
      </c>
      <c r="K16" s="165"/>
      <c r="L16" s="165"/>
      <c r="M16" s="167" t="s">
        <v>138</v>
      </c>
      <c r="Q16" s="161">
        <f>L16/$Q$2</f>
        <v>0</v>
      </c>
    </row>
    <row r="17" spans="1:13" ht="15">
      <c r="A17" s="168"/>
      <c r="B17" s="162" t="s">
        <v>59</v>
      </c>
      <c r="C17" s="65">
        <v>30000</v>
      </c>
      <c r="D17" s="66">
        <v>1</v>
      </c>
      <c r="E17" s="67">
        <f t="shared" si="0"/>
        <v>30000</v>
      </c>
      <c r="F17" s="65">
        <f t="shared" si="1"/>
        <v>30000</v>
      </c>
      <c r="G17" s="166"/>
      <c r="H17" s="165"/>
      <c r="I17" s="165"/>
      <c r="J17" s="165">
        <f t="shared" si="2"/>
        <v>30000</v>
      </c>
      <c r="K17" s="165"/>
      <c r="L17" s="166"/>
      <c r="M17" s="167" t="s">
        <v>138</v>
      </c>
    </row>
    <row r="18" spans="1:13" ht="15">
      <c r="A18" s="155"/>
      <c r="B18" s="169" t="s">
        <v>156</v>
      </c>
      <c r="C18" s="170">
        <v>6250</v>
      </c>
      <c r="D18" s="171">
        <v>1</v>
      </c>
      <c r="E18" s="172">
        <f>C18*D18</f>
        <v>6250</v>
      </c>
      <c r="F18" s="170">
        <f t="shared" si="1"/>
        <v>6250</v>
      </c>
      <c r="G18" s="173"/>
      <c r="H18" s="174">
        <f>E18</f>
        <v>6250</v>
      </c>
      <c r="I18" s="174"/>
      <c r="J18" s="175"/>
      <c r="K18" s="175"/>
      <c r="L18" s="173"/>
      <c r="M18" s="176" t="s">
        <v>157</v>
      </c>
    </row>
    <row r="19" spans="1:13" ht="15">
      <c r="A19" s="155"/>
      <c r="B19" s="177" t="s">
        <v>158</v>
      </c>
      <c r="C19" s="170">
        <v>23000</v>
      </c>
      <c r="D19" s="171">
        <v>1</v>
      </c>
      <c r="E19" s="172">
        <f>C19*D19</f>
        <v>23000</v>
      </c>
      <c r="F19" s="170">
        <f t="shared" si="1"/>
        <v>23000</v>
      </c>
      <c r="G19" s="173"/>
      <c r="H19" s="174">
        <f>E19</f>
        <v>23000</v>
      </c>
      <c r="I19" s="174"/>
      <c r="J19" s="175"/>
      <c r="K19" s="175"/>
      <c r="L19" s="173"/>
      <c r="M19" s="176" t="s">
        <v>157</v>
      </c>
    </row>
    <row r="20" spans="1:13" ht="15">
      <c r="A20" s="155"/>
      <c r="B20" s="178" t="s">
        <v>69</v>
      </c>
      <c r="C20" s="170">
        <v>14000</v>
      </c>
      <c r="D20" s="171">
        <v>1</v>
      </c>
      <c r="E20" s="172">
        <f>C20*D20</f>
        <v>14000</v>
      </c>
      <c r="F20" s="68">
        <f t="shared" si="1"/>
        <v>14000</v>
      </c>
      <c r="G20" s="179"/>
      <c r="H20" s="180">
        <f>E20</f>
        <v>14000</v>
      </c>
      <c r="I20" s="180"/>
      <c r="J20" s="181"/>
      <c r="K20" s="181"/>
      <c r="L20" s="179"/>
      <c r="M20" s="176" t="s">
        <v>157</v>
      </c>
    </row>
    <row r="21" spans="1:13" ht="15">
      <c r="A21" s="155"/>
      <c r="B21" s="182" t="s">
        <v>65</v>
      </c>
      <c r="C21" s="69"/>
      <c r="D21" s="70"/>
      <c r="E21" s="105">
        <f>SUM(E3:E20)*7%</f>
        <v>89470.50000000001</v>
      </c>
      <c r="F21" s="183" t="e">
        <f>SUM(F3:F20)*7%</f>
        <v>#REF!</v>
      </c>
      <c r="H21" s="184">
        <f>SUM(H3:H20)*7%</f>
        <v>3027.5000000000005</v>
      </c>
      <c r="I21" s="184">
        <f>SUM(I3:I20)*7%</f>
        <v>16632</v>
      </c>
      <c r="J21" s="184">
        <f>SUM(J3:J20)*7%</f>
        <v>69811</v>
      </c>
      <c r="K21" s="184"/>
      <c r="M21" s="185"/>
    </row>
    <row r="22" spans="1:13" ht="15">
      <c r="A22" s="155"/>
      <c r="B22" s="71"/>
      <c r="C22" s="71"/>
      <c r="D22" s="72"/>
      <c r="E22" s="73">
        <f>SUM(E3:E21)</f>
        <v>1367620.5</v>
      </c>
      <c r="F22" s="186" t="e">
        <f>SUM(F3:F21)</f>
        <v>#REF!</v>
      </c>
      <c r="H22" s="187">
        <f>SUM(H3:H21)</f>
        <v>46277.5</v>
      </c>
      <c r="I22" s="187">
        <f>SUM(I3:I21)</f>
        <v>254232</v>
      </c>
      <c r="J22" s="187">
        <f>SUM(J3:J21)</f>
        <v>1067111</v>
      </c>
      <c r="K22" s="188"/>
      <c r="L22" s="189"/>
      <c r="M22" s="185"/>
    </row>
    <row r="23" spans="4:11" ht="15">
      <c r="D23" s="190"/>
      <c r="E23" s="184"/>
      <c r="H23" s="184">
        <f>342000+91568.69+63810.93+13293.94+26587.89+86038.4</f>
        <v>623299.85</v>
      </c>
      <c r="I23" s="184">
        <v>100000</v>
      </c>
      <c r="J23" s="184">
        <v>200000</v>
      </c>
      <c r="K23" s="184"/>
    </row>
    <row r="24" spans="3:11" ht="15">
      <c r="C24" s="191"/>
      <c r="D24" s="190"/>
      <c r="E24" s="184"/>
      <c r="H24" s="184">
        <v>25000</v>
      </c>
      <c r="I24" s="184">
        <v>797393.3</v>
      </c>
      <c r="J24" s="184">
        <v>120000</v>
      </c>
      <c r="K24" s="184"/>
    </row>
    <row r="25" spans="3:11" ht="15">
      <c r="C25" s="191"/>
      <c r="D25" s="190"/>
      <c r="E25" s="189"/>
      <c r="H25" s="184">
        <f>59970.46-14000</f>
        <v>45970.46</v>
      </c>
      <c r="I25" s="184">
        <v>86038.4</v>
      </c>
      <c r="J25" s="184">
        <v>86038.4</v>
      </c>
      <c r="K25" s="184"/>
    </row>
    <row r="26" spans="4:11" ht="15">
      <c r="D26" s="190"/>
      <c r="E26" s="161"/>
      <c r="H26" s="184">
        <f>36000+108000+63515.51+18400+100000+120000</f>
        <v>445915.51</v>
      </c>
      <c r="I26" s="184"/>
      <c r="J26" s="184">
        <v>100000</v>
      </c>
      <c r="K26" s="184"/>
    </row>
    <row r="27" spans="3:11" ht="15">
      <c r="C27" s="184"/>
      <c r="D27" s="190"/>
      <c r="H27" s="184"/>
      <c r="I27" s="184"/>
      <c r="J27" s="184">
        <v>60912</v>
      </c>
      <c r="K27" s="184"/>
    </row>
    <row r="28" spans="3:12" ht="15">
      <c r="C28" s="192"/>
      <c r="H28" s="184"/>
      <c r="I28" s="184"/>
      <c r="J28" s="184">
        <v>60912</v>
      </c>
      <c r="K28" s="184">
        <v>3101788.69</v>
      </c>
      <c r="L28">
        <v>561568.69</v>
      </c>
    </row>
    <row r="29" spans="3:12" ht="15">
      <c r="C29" s="191"/>
      <c r="E29" s="193"/>
      <c r="H29" s="184">
        <f>SUM(H23:H28)*7%</f>
        <v>79813.0074</v>
      </c>
      <c r="I29" s="184">
        <f>SUM(I23:I28)*7%</f>
        <v>68840.21900000001</v>
      </c>
      <c r="J29" s="184">
        <f>SUM(J23:J28)*7%</f>
        <v>43950.368</v>
      </c>
      <c r="K29" s="184">
        <f>K28*0.07</f>
        <v>217125.20830000003</v>
      </c>
      <c r="L29" s="184">
        <f>L28*0.07</f>
        <v>39309.8083</v>
      </c>
    </row>
    <row r="30" spans="8:13" ht="15">
      <c r="H30" s="184">
        <f>SUM(H23:H29)</f>
        <v>1219998.8273999998</v>
      </c>
      <c r="I30" s="184">
        <f>SUM(I23:I29)</f>
        <v>1052271.919</v>
      </c>
      <c r="J30" s="184">
        <f>SUM(J23:J29)</f>
        <v>671812.768</v>
      </c>
      <c r="K30" s="184">
        <f>SUM(K28:K29)</f>
        <v>3318913.8983</v>
      </c>
      <c r="L30" s="184">
        <f>SUM(L28:L29)</f>
        <v>600878.4983</v>
      </c>
      <c r="M30" s="194"/>
    </row>
    <row r="31" spans="8:19" ht="15">
      <c r="H31" s="195">
        <f>+H22+H30</f>
        <v>1266276.3273999998</v>
      </c>
      <c r="I31" s="195">
        <f>+I22+I30</f>
        <v>1306503.919</v>
      </c>
      <c r="J31" s="195">
        <f>+J22+J30</f>
        <v>1738923.7680000002</v>
      </c>
      <c r="K31" s="195">
        <v>3304913.89</v>
      </c>
      <c r="L31" s="195">
        <v>600878.49</v>
      </c>
      <c r="M31" s="196"/>
      <c r="S31" s="197"/>
    </row>
    <row r="32" spans="10:13" ht="15">
      <c r="J32" s="184"/>
      <c r="K32" s="184"/>
      <c r="M32" s="194"/>
    </row>
    <row r="33" ht="15">
      <c r="K33" s="197"/>
    </row>
    <row r="34" ht="15">
      <c r="I34" s="189"/>
    </row>
    <row r="35" spans="8:13" ht="15">
      <c r="H35" s="196"/>
      <c r="I35" s="196"/>
      <c r="J35" s="196"/>
      <c r="K35" s="196"/>
      <c r="L35" s="196"/>
      <c r="M35" s="197"/>
    </row>
    <row r="36" spans="8:13" ht="15">
      <c r="H36" s="196"/>
      <c r="I36" s="196"/>
      <c r="J36" s="196"/>
      <c r="K36" s="196"/>
      <c r="L36" s="196"/>
      <c r="M36" s="197"/>
    </row>
    <row r="37" ht="15">
      <c r="M37" s="197"/>
    </row>
  </sheetData>
  <sheetProtection/>
  <printOptions/>
  <pageMargins left="0.2755905511811024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2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31.140625" style="0" customWidth="1"/>
    <col min="2" max="2" width="40.28125" style="0" customWidth="1"/>
    <col min="3" max="3" width="27.00390625" style="0" customWidth="1"/>
    <col min="4" max="4" width="20.00390625" style="0" customWidth="1"/>
    <col min="5" max="5" width="27.140625" style="0" customWidth="1"/>
  </cols>
  <sheetData>
    <row r="2" ht="19.5" thickBot="1">
      <c r="B2" s="141" t="s">
        <v>159</v>
      </c>
    </row>
    <row r="3" spans="2:5" ht="15">
      <c r="B3" s="201" t="s">
        <v>49</v>
      </c>
      <c r="C3" s="202">
        <v>20000</v>
      </c>
      <c r="D3" s="203">
        <v>2</v>
      </c>
      <c r="E3" s="204">
        <f aca="true" t="shared" si="0" ref="E3:E19">C3*D3</f>
        <v>40000</v>
      </c>
    </row>
    <row r="4" spans="2:5" ht="26.25">
      <c r="B4" s="123" t="s">
        <v>112</v>
      </c>
      <c r="C4" s="108">
        <v>2000</v>
      </c>
      <c r="D4" s="109">
        <v>15</v>
      </c>
      <c r="E4" s="110">
        <f t="shared" si="0"/>
        <v>30000</v>
      </c>
    </row>
    <row r="5" spans="2:5" ht="15">
      <c r="B5" s="123" t="s">
        <v>113</v>
      </c>
      <c r="C5" s="108">
        <v>2500</v>
      </c>
      <c r="D5" s="109">
        <v>15</v>
      </c>
      <c r="E5" s="110">
        <f t="shared" si="0"/>
        <v>37500</v>
      </c>
    </row>
    <row r="6" spans="2:5" ht="26.25">
      <c r="B6" s="123" t="s">
        <v>114</v>
      </c>
      <c r="C6" s="108">
        <v>9000</v>
      </c>
      <c r="D6" s="109">
        <v>13</v>
      </c>
      <c r="E6" s="110">
        <f t="shared" si="0"/>
        <v>117000</v>
      </c>
    </row>
    <row r="7" spans="2:5" ht="26.25">
      <c r="B7" s="123" t="s">
        <v>115</v>
      </c>
      <c r="C7" s="108">
        <v>1500</v>
      </c>
      <c r="D7" s="109">
        <v>10</v>
      </c>
      <c r="E7" s="110">
        <f t="shared" si="0"/>
        <v>15000</v>
      </c>
    </row>
    <row r="8" spans="2:5" ht="15">
      <c r="B8" s="124" t="s">
        <v>116</v>
      </c>
      <c r="C8" s="108">
        <v>1500</v>
      </c>
      <c r="D8" s="109">
        <v>10</v>
      </c>
      <c r="E8" s="110">
        <f>D8*C8</f>
        <v>15000</v>
      </c>
    </row>
    <row r="9" spans="2:5" ht="15">
      <c r="B9" s="124" t="s">
        <v>117</v>
      </c>
      <c r="C9" s="114">
        <v>2500</v>
      </c>
      <c r="D9" s="113">
        <v>10</v>
      </c>
      <c r="E9" s="121">
        <f t="shared" si="0"/>
        <v>25000</v>
      </c>
    </row>
    <row r="10" spans="2:5" ht="25.5">
      <c r="B10" s="124" t="s">
        <v>118</v>
      </c>
      <c r="C10" s="114">
        <v>2500</v>
      </c>
      <c r="D10" s="113">
        <v>12</v>
      </c>
      <c r="E10" s="121">
        <f t="shared" si="0"/>
        <v>30000</v>
      </c>
    </row>
    <row r="11" spans="2:5" ht="25.5">
      <c r="B11" s="124" t="s">
        <v>119</v>
      </c>
      <c r="C11" s="114">
        <v>3500</v>
      </c>
      <c r="D11" s="113">
        <v>50</v>
      </c>
      <c r="E11" s="121">
        <f t="shared" si="0"/>
        <v>175000</v>
      </c>
    </row>
    <row r="12" spans="2:5" ht="25.5">
      <c r="B12" s="124" t="s">
        <v>120</v>
      </c>
      <c r="C12" s="108">
        <v>2500</v>
      </c>
      <c r="D12" s="109">
        <v>50</v>
      </c>
      <c r="E12" s="110">
        <f t="shared" si="0"/>
        <v>125000</v>
      </c>
    </row>
    <row r="13" spans="2:5" ht="15">
      <c r="B13" s="125" t="s">
        <v>121</v>
      </c>
      <c r="C13" s="114">
        <v>12000</v>
      </c>
      <c r="D13" s="113">
        <v>4</v>
      </c>
      <c r="E13" s="121">
        <f t="shared" si="0"/>
        <v>48000</v>
      </c>
    </row>
    <row r="14" spans="2:5" ht="25.5">
      <c r="B14" s="125" t="s">
        <v>122</v>
      </c>
      <c r="C14" s="114">
        <v>12000</v>
      </c>
      <c r="D14" s="113">
        <v>2</v>
      </c>
      <c r="E14" s="121">
        <f t="shared" si="0"/>
        <v>24000</v>
      </c>
    </row>
    <row r="15" spans="2:5" ht="25.5">
      <c r="B15" s="125" t="s">
        <v>123</v>
      </c>
      <c r="C15" s="114">
        <v>12000</v>
      </c>
      <c r="D15" s="113">
        <v>3</v>
      </c>
      <c r="E15" s="121">
        <f t="shared" si="0"/>
        <v>36000</v>
      </c>
    </row>
    <row r="16" spans="2:5" ht="15">
      <c r="B16" s="125" t="s">
        <v>124</v>
      </c>
      <c r="C16" s="114">
        <v>200</v>
      </c>
      <c r="D16" s="113">
        <v>120</v>
      </c>
      <c r="E16" s="121">
        <f t="shared" si="0"/>
        <v>24000</v>
      </c>
    </row>
    <row r="17" spans="2:5" ht="15">
      <c r="B17" s="125" t="s">
        <v>125</v>
      </c>
      <c r="C17" s="114">
        <v>4500</v>
      </c>
      <c r="D17" s="113">
        <v>8</v>
      </c>
      <c r="E17" s="121">
        <f t="shared" si="0"/>
        <v>36000</v>
      </c>
    </row>
    <row r="18" spans="2:5" ht="15">
      <c r="B18" s="125" t="s">
        <v>126</v>
      </c>
      <c r="C18" s="114">
        <v>4600</v>
      </c>
      <c r="D18" s="113">
        <v>24</v>
      </c>
      <c r="E18" s="121">
        <f t="shared" si="0"/>
        <v>110400</v>
      </c>
    </row>
    <row r="19" spans="2:5" ht="15.75" thickBot="1">
      <c r="B19" s="198" t="s">
        <v>127</v>
      </c>
      <c r="C19" s="199">
        <v>2545</v>
      </c>
      <c r="D19" s="200">
        <v>24</v>
      </c>
      <c r="E19" s="205">
        <f t="shared" si="0"/>
        <v>61080</v>
      </c>
    </row>
    <row r="20" spans="1:5" ht="15">
      <c r="A20" s="55" t="s">
        <v>60</v>
      </c>
      <c r="E20" s="140">
        <f>SUM(E3:E19)</f>
        <v>948980</v>
      </c>
    </row>
    <row r="21" spans="1:5" ht="15">
      <c r="A21" s="55" t="s">
        <v>61</v>
      </c>
      <c r="E21" s="140">
        <f>E20*7%</f>
        <v>66428.6</v>
      </c>
    </row>
    <row r="22" spans="1:5" ht="15">
      <c r="A22" s="55" t="s">
        <v>62</v>
      </c>
      <c r="E22" s="140">
        <f>SUM(E20:E21)</f>
        <v>1015408.6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- SRB</dc:title>
  <dc:subject/>
  <dc:creator>predrag.perunovic</dc:creator>
  <cp:keywords/>
  <dc:description/>
  <cp:lastModifiedBy>User</cp:lastModifiedBy>
  <cp:lastPrinted>2010-03-05T08:24:56Z</cp:lastPrinted>
  <dcterms:created xsi:type="dcterms:W3CDTF">2008-07-11T09:37:52Z</dcterms:created>
  <dcterms:modified xsi:type="dcterms:W3CDTF">2010-03-17T08:28:09Z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ATLASPDC-4-11625</vt:lpwstr>
  </property>
  <property fmtid="{D5CDD505-2E9C-101B-9397-08002B2CF9AE}" pid="4" name="_dlc_DocIdItemGu">
    <vt:lpwstr>aa97bbae-be6e-4bd8-ad89-b6d3ce847e54</vt:lpwstr>
  </property>
  <property fmtid="{D5CDD505-2E9C-101B-9397-08002B2CF9AE}" pid="5" name="_dlc_DocIdU">
    <vt:lpwstr>https://info.undp.org/docs/pdc/_layouts/DocIdRedir.aspx?ID=ATLASPDC-4-11625, ATLASPDC-4-11625</vt:lpwstr>
  </property>
  <property fmtid="{D5CDD505-2E9C-101B-9397-08002B2CF9AE}" pid="6" name="UNDPPublishedDa">
    <vt:lpwstr>2013-11-06T00:00:00Z</vt:lpwstr>
  </property>
  <property fmtid="{D5CDD505-2E9C-101B-9397-08002B2CF9AE}" pid="7" name="UN Languag">
    <vt:lpwstr>1;#English|7f98b732-4b5b-4b70-ba90-a0eff09b5d2d</vt:lpwstr>
  </property>
  <property fmtid="{D5CDD505-2E9C-101B-9397-08002B2CF9AE}" pid="8" name="Atlas Document Ty">
    <vt:lpwstr>1109;#Budget|1c1fa43a-cb36-4844-8715-9a4cc93e1ac9</vt:lpwstr>
  </property>
  <property fmtid="{D5CDD505-2E9C-101B-9397-08002B2CF9AE}" pid="9" name="UN LanguagesTaxHTFiel">
    <vt:lpwstr>English|7f98b732-4b5b-4b70-ba90-a0eff09b5d2d</vt:lpwstr>
  </property>
  <property fmtid="{D5CDD505-2E9C-101B-9397-08002B2CF9AE}" pid="10" name="Project Numb">
    <vt:lpwstr>00058284</vt:lpwstr>
  </property>
  <property fmtid="{D5CDD505-2E9C-101B-9397-08002B2CF9AE}" pid="11" name="gc6531b704974d528487414686b72f">
    <vt:lpwstr>SRB|dadcb3b9-2841-4674-8ab0-f49e76ee737a</vt:lpwstr>
  </property>
  <property fmtid="{D5CDD505-2E9C-101B-9397-08002B2CF9AE}" pid="12" name="Operating Uni">
    <vt:lpwstr>1632;#SRB|dadcb3b9-2841-4674-8ab0-f49e76ee737a</vt:lpwstr>
  </property>
  <property fmtid="{D5CDD505-2E9C-101B-9397-08002B2CF9AE}" pid="13" name="UndpUnit">
    <vt:lpwstr/>
  </property>
  <property fmtid="{D5CDD505-2E9C-101B-9397-08002B2CF9AE}" pid="14" name="b6db62fdefd74bd188b0c1cc54de5b">
    <vt:lpwstr/>
  </property>
  <property fmtid="{D5CDD505-2E9C-101B-9397-08002B2CF9AE}" pid="15" name="idff2b682fce4d0680503cd9036a32">
    <vt:lpwstr>Budget|1c1fa43a-cb36-4844-8715-9a4cc93e1ac9</vt:lpwstr>
  </property>
  <property fmtid="{D5CDD505-2E9C-101B-9397-08002B2CF9AE}" pid="16" name="PDC Document Catego">
    <vt:lpwstr>Project</vt:lpwstr>
  </property>
  <property fmtid="{D5CDD505-2E9C-101B-9397-08002B2CF9AE}" pid="17" name="TaxCatchA">
    <vt:lpwstr>1109;#Budget|1c1fa43a-cb36-4844-8715-9a4cc93e1ac9;#1632;#SRB|dadcb3b9-2841-4674-8ab0-f49e76ee737a;#1;#English|7f98b732-4b5b-4b70-ba90-a0eff09b5d2d;#763;#Draft|121d40a5-e62e-4d42-82e4-d6d12003de0a</vt:lpwstr>
  </property>
  <property fmtid="{D5CDD505-2E9C-101B-9397-08002B2CF9AE}" pid="18" name="UndpProject">
    <vt:lpwstr>00058284</vt:lpwstr>
  </property>
  <property fmtid="{D5CDD505-2E9C-101B-9397-08002B2CF9AE}" pid="19" name="UNDPPOPPFunctionalAr">
    <vt:lpwstr/>
  </property>
  <property fmtid="{D5CDD505-2E9C-101B-9397-08002B2CF9AE}" pid="20" name="UndpClassificationLev">
    <vt:lpwstr/>
  </property>
  <property fmtid="{D5CDD505-2E9C-101B-9397-08002B2CF9AE}" pid="21" name="UndpOUCo">
    <vt:lpwstr/>
  </property>
  <property fmtid="{D5CDD505-2E9C-101B-9397-08002B2CF9AE}" pid="22" name="UNDPCount">
    <vt:lpwstr/>
  </property>
  <property fmtid="{D5CDD505-2E9C-101B-9397-08002B2CF9AE}" pid="23" name="_Publish">
    <vt:lpwstr/>
  </property>
  <property fmtid="{D5CDD505-2E9C-101B-9397-08002B2CF9AE}" pid="24" name="UndpDocStat">
    <vt:lpwstr/>
  </property>
  <property fmtid="{D5CDD505-2E9C-101B-9397-08002B2CF9AE}" pid="25" name="UNDPFocusAreasTaxHTFiel">
    <vt:lpwstr/>
  </property>
  <property fmtid="{D5CDD505-2E9C-101B-9397-08002B2CF9AE}" pid="26" name="o4086b1782a74105bb5269035bccc8">
    <vt:lpwstr>Draft|121d40a5-e62e-4d42-82e4-d6d12003de0a</vt:lpwstr>
  </property>
  <property fmtid="{D5CDD505-2E9C-101B-9397-08002B2CF9AE}" pid="27" name="UndpDocType">
    <vt:lpwstr/>
  </property>
  <property fmtid="{D5CDD505-2E9C-101B-9397-08002B2CF9AE}" pid="28" name="U">
    <vt:lpwstr/>
  </property>
  <property fmtid="{D5CDD505-2E9C-101B-9397-08002B2CF9AE}" pid="29" name="UndpDoc">
    <vt:lpwstr/>
  </property>
  <property fmtid="{D5CDD505-2E9C-101B-9397-08002B2CF9AE}" pid="30" name="UNDPDocumentCatego">
    <vt:lpwstr/>
  </property>
  <property fmtid="{D5CDD505-2E9C-101B-9397-08002B2CF9AE}" pid="31" name="UNDPDocumentCategoryTaxHTFiel">
    <vt:lpwstr/>
  </property>
  <property fmtid="{D5CDD505-2E9C-101B-9397-08002B2CF9AE}" pid="32" name="Outcom">
    <vt:lpwstr/>
  </property>
  <property fmtid="{D5CDD505-2E9C-101B-9397-08002B2CF9AE}" pid="33" name="Atlas Document Stat">
    <vt:lpwstr>763;#Draft|121d40a5-e62e-4d42-82e4-d6d12003de0a</vt:lpwstr>
  </property>
  <property fmtid="{D5CDD505-2E9C-101B-9397-08002B2CF9AE}" pid="34" name="UNDPSumma">
    <vt:lpwstr/>
  </property>
  <property fmtid="{D5CDD505-2E9C-101B-9397-08002B2CF9AE}" pid="35" name="UndpDocForm">
    <vt:lpwstr/>
  </property>
  <property fmtid="{D5CDD505-2E9C-101B-9397-08002B2CF9AE}" pid="36" name="UNDPFocusAre">
    <vt:lpwstr/>
  </property>
  <property fmtid="{D5CDD505-2E9C-101B-9397-08002B2CF9AE}" pid="37" name="UndpDocTypeMMTaxHTFiel">
    <vt:lpwstr/>
  </property>
  <property fmtid="{D5CDD505-2E9C-101B-9397-08002B2CF9AE}" pid="38" name="UNDPCountryTaxHTFiel">
    <vt:lpwstr/>
  </property>
  <property fmtid="{D5CDD505-2E9C-101B-9397-08002B2CF9AE}" pid="39" name="DocumentSetDescripti">
    <vt:lpwstr/>
  </property>
  <property fmtid="{D5CDD505-2E9C-101B-9397-08002B2CF9AE}" pid="40" name="c4e2ab2cc9354bbf9064eeb465a566">
    <vt:lpwstr/>
  </property>
  <property fmtid="{D5CDD505-2E9C-101B-9397-08002B2CF9AE}" pid="41" name="eRegFilingCode">
    <vt:lpwstr/>
  </property>
  <property fmtid="{D5CDD505-2E9C-101B-9397-08002B2CF9AE}" pid="42" name="Un">
    <vt:lpwstr/>
  </property>
  <property fmtid="{D5CDD505-2E9C-101B-9397-08002B2CF9AE}" pid="43" name="UnitTaxHTFiel">
    <vt:lpwstr/>
  </property>
  <property fmtid="{D5CDD505-2E9C-101B-9397-08002B2CF9AE}" pid="44" name="Project Manag">
    <vt:lpwstr/>
  </property>
  <property fmtid="{D5CDD505-2E9C-101B-9397-08002B2CF9AE}" pid="45" name="UndpIsTempla">
    <vt:lpwstr/>
  </property>
  <property fmtid="{D5CDD505-2E9C-101B-9397-08002B2CF9AE}" pid="46" name="display_urn:schemas-microsoft-com:office:office#Edit">
    <vt:lpwstr>Sainan Yu</vt:lpwstr>
  </property>
  <property fmtid="{D5CDD505-2E9C-101B-9397-08002B2CF9AE}" pid="47" name="display_urn:schemas-microsoft-com:office:office#Auth">
    <vt:lpwstr>Dragan Ristic</vt:lpwstr>
  </property>
</Properties>
</file>